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62F307B8-920C-405C-AAE9-1CC4357989C2}" xr6:coauthVersionLast="47" xr6:coauthVersionMax="47" xr10:uidLastSave="{00000000-0000-0000-0000-000000000000}"/>
  <workbookProtection workbookAlgorithmName="SHA-512" workbookHashValue="394Yuuc+codjcX4kpTn/pBVSWSC1E8WbITym2PNpisaT+ik2kL9ztCMOK6ViO8UMVy5AvaB173wy6va7fA31qA==" workbookSaltValue="wmNpokNCN6L3xHPJmMKcTw==" workbookSpinCount="100000" lockStructure="1"/>
  <bookViews>
    <workbookView xWindow="-108" yWindow="-108" windowWidth="23256" windowHeight="12576" tabRatio="845" xr2:uid="{00000000-000D-0000-FFFF-FFFF00000000}"/>
  </bookViews>
  <sheets>
    <sheet name="standing hay calc" sheetId="6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H">#REF!</definedName>
    <definedName name="\I">#REF!</definedName>
    <definedName name="\K">#N/A</definedName>
    <definedName name="\L">#REF!</definedName>
    <definedName name="\N">#REF!</definedName>
    <definedName name="\O">#REF!</definedName>
    <definedName name="\P">#N/A</definedName>
    <definedName name="\R">#REF!</definedName>
    <definedName name="\S">#REF!</definedName>
    <definedName name="\T">#REF!</definedName>
    <definedName name="\U">#REF!</definedName>
    <definedName name="\W">#REF!</definedName>
    <definedName name="\X">#N/A</definedName>
    <definedName name="\Y">#REF!</definedName>
    <definedName name="ALL">#N/A</definedName>
    <definedName name="_xlnm.Print_Area" localSheetId="0">'standing hay calc'!$A$1:$J$75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6" l="1"/>
  <c r="D53" i="6" l="1"/>
  <c r="A68" i="6" l="1"/>
  <c r="A64" i="6"/>
  <c r="A60" i="6"/>
  <c r="D23" i="6" l="1"/>
  <c r="H23" i="6" l="1"/>
  <c r="D57" i="6" l="1"/>
  <c r="D28" i="6" l="1"/>
  <c r="E28" i="6" s="1"/>
  <c r="D27" i="6"/>
  <c r="E27" i="6" s="1"/>
  <c r="H26" i="6"/>
  <c r="E23" i="6"/>
  <c r="D58" i="6" l="1"/>
  <c r="I14" i="6"/>
  <c r="I13" i="6"/>
  <c r="A33" i="6"/>
  <c r="E33" i="6"/>
  <c r="D26" i="6"/>
  <c r="J3" i="6"/>
  <c r="H30" i="6" l="1"/>
  <c r="I30" i="6" s="1"/>
  <c r="J30" i="6" s="1"/>
  <c r="E26" i="6"/>
  <c r="H28" i="6"/>
  <c r="I28" i="6" s="1"/>
  <c r="J28" i="6" s="1"/>
  <c r="H27" i="6"/>
  <c r="F33" i="6"/>
  <c r="D33" i="6"/>
  <c r="I23" i="6"/>
  <c r="J23" i="6" s="1"/>
  <c r="I33" i="6"/>
  <c r="I29" i="6"/>
  <c r="J29" i="6" s="1"/>
  <c r="I26" i="6"/>
  <c r="F29" i="6"/>
  <c r="F27" i="6"/>
  <c r="F26" i="6"/>
  <c r="F23" i="6"/>
  <c r="F28" i="6"/>
  <c r="H31" i="6" l="1"/>
  <c r="J33" i="6"/>
  <c r="H33" i="6"/>
  <c r="I27" i="6"/>
  <c r="J27" i="6" s="1"/>
  <c r="J26" i="6"/>
  <c r="D54" i="6"/>
  <c r="D30" i="6"/>
  <c r="E30" i="6" s="1"/>
  <c r="D65" i="6" l="1"/>
  <c r="D61" i="6"/>
  <c r="H35" i="6"/>
  <c r="I31" i="6"/>
  <c r="I35" i="6" s="1"/>
  <c r="J31" i="6"/>
  <c r="J35" i="6" s="1"/>
  <c r="J37" i="6" s="1"/>
  <c r="F30" i="6"/>
  <c r="F31" i="6" s="1"/>
  <c r="F35" i="6" s="1"/>
  <c r="F37" i="6" s="1"/>
  <c r="E31" i="6"/>
  <c r="E35" i="6" s="1"/>
  <c r="D31" i="6"/>
  <c r="D35" i="6" s="1"/>
  <c r="D62" i="6" l="1"/>
  <c r="G61" i="6"/>
  <c r="G62" i="6" s="1"/>
  <c r="E61" i="6"/>
  <c r="E62" i="6" s="1"/>
  <c r="F61" i="6"/>
  <c r="F62" i="6" s="1"/>
  <c r="D66" i="6"/>
  <c r="F65" i="6"/>
  <c r="E65" i="6"/>
  <c r="E66" i="6" s="1"/>
  <c r="F66" i="6" l="1"/>
  <c r="G65" i="6"/>
  <c r="G66" i="6" s="1"/>
</calcChain>
</file>

<file path=xl/sharedStrings.xml><?xml version="1.0" encoding="utf-8"?>
<sst xmlns="http://schemas.openxmlformats.org/spreadsheetml/2006/main" count="77" uniqueCount="59">
  <si>
    <t>$/acre</t>
  </si>
  <si>
    <t/>
  </si>
  <si>
    <t>A.  Operating Costs</t>
  </si>
  <si>
    <t>Fertilizer</t>
  </si>
  <si>
    <t>Crop Insurance</t>
  </si>
  <si>
    <t>Other Costs</t>
  </si>
  <si>
    <t>Land Taxes</t>
  </si>
  <si>
    <t>Interest on Operating</t>
  </si>
  <si>
    <t>B.   Fixed Costs</t>
  </si>
  <si>
    <t>Total Operating</t>
  </si>
  <si>
    <t xml:space="preserve">Total Fixed </t>
  </si>
  <si>
    <t>Interest Rate on Operating</t>
  </si>
  <si>
    <t>Investment Rate</t>
  </si>
  <si>
    <t>$/ton</t>
  </si>
  <si>
    <t>$/pound</t>
  </si>
  <si>
    <t>Herbicide/Insecticide</t>
  </si>
  <si>
    <t>Land value ($/acre)</t>
  </si>
  <si>
    <t>Custom Fertilizer Application</t>
  </si>
  <si>
    <t>Custom Baling</t>
  </si>
  <si>
    <t xml:space="preserve">Custom Bale Moving </t>
  </si>
  <si>
    <t>Custom Mowing</t>
  </si>
  <si>
    <t>Custom Baling ($/bale)</t>
  </si>
  <si>
    <t>Custom Bale Moving ($/bale)</t>
  </si>
  <si>
    <t>Printed:</t>
  </si>
  <si>
    <t>Input Data:</t>
  </si>
  <si>
    <t>Custom Mowing ($/acre)</t>
  </si>
  <si>
    <t>B.  Haying Costs</t>
  </si>
  <si>
    <t>Total Haying Costs</t>
  </si>
  <si>
    <t>Discount for risk</t>
  </si>
  <si>
    <t xml:space="preserve">For more information on machinery costs, </t>
  </si>
  <si>
    <t xml:space="preserve">For more information on hay production costs, </t>
  </si>
  <si>
    <r>
      <t>*** Enter changes to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BLUE</t>
    </r>
    <r>
      <rPr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values only ***</t>
    </r>
  </si>
  <si>
    <t>Standing feed margin over costs (profit)</t>
  </si>
  <si>
    <t>Bale Weight (lbs.)</t>
  </si>
  <si>
    <t xml:space="preserve">Note: This budget is only a guide and is not intended to be an in-depth study of the cost of production of this industry. Interpretation and utilization of this information is the responsibility of the user. </t>
  </si>
  <si>
    <t xml:space="preserve"> Moisture Content</t>
  </si>
  <si>
    <t>Moisture Content</t>
  </si>
  <si>
    <t>Yield (tons/acre)</t>
  </si>
  <si>
    <t>Value ($ per Ton )</t>
  </si>
  <si>
    <t>Feed Value ($ per ton)</t>
  </si>
  <si>
    <t>A.  Market Value ($ per ton)</t>
  </si>
  <si>
    <t>D. Value of Standing Hay</t>
  </si>
  <si>
    <t xml:space="preserve">E. Value of Standing Hay per Bale </t>
  </si>
  <si>
    <t>Land Investment Costs</t>
  </si>
  <si>
    <t>$/bale</t>
  </si>
  <si>
    <t>Total Costs</t>
  </si>
  <si>
    <t>Seed &amp; Treatment</t>
  </si>
  <si>
    <t xml:space="preserve">. . . . . . . . . . . . . . . . . . . . . . . . . . . . . . . . . . . . . . . . . . . . . . . . . . . . . . </t>
  </si>
  <si>
    <t>Dry Hay Input:</t>
  </si>
  <si>
    <t xml:space="preserve">            High Moisture Hay Input:</t>
  </si>
  <si>
    <t>Calculation #1 - Hay Market Value Method</t>
  </si>
  <si>
    <t xml:space="preserve">Dry Hay </t>
  </si>
  <si>
    <t>High Moisture Hay</t>
  </si>
  <si>
    <t>Calculation #2 - Hay Cost of Production Method</t>
  </si>
  <si>
    <t>Hay Production Costs</t>
  </si>
  <si>
    <r>
      <t>Value of Standing Hay</t>
    </r>
    <r>
      <rPr>
        <b/>
        <vertAlign val="superscript"/>
        <sz val="12"/>
        <rFont val="Arial"/>
        <family val="2"/>
      </rPr>
      <t>1</t>
    </r>
  </si>
  <si>
    <t xml:space="preserve">Ammortized Establishment Cost </t>
  </si>
  <si>
    <t xml:space="preserve">Standing Hay Cost Calculator </t>
  </si>
  <si>
    <t>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</si>
</sst>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;\-&quot;$&quot;#,##0"/>
    <numFmt numFmtId="7" formatCode="&quot;$&quot;#,##0.00;\-&quot;$&quot;#,##0.00"/>
    <numFmt numFmtId="164" formatCode="0.0%"/>
    <numFmt numFmtId="165" formatCode="0.0"/>
    <numFmt numFmtId="166" formatCode="&quot;$&quot;#,##0.00"/>
    <numFmt numFmtId="167" formatCode="&quot;$&quot;#,##0.0000;\-&quot;$&quot;#,##0.0000"/>
    <numFmt numFmtId="168" formatCode="&quot;$&quot;#,##0.0000"/>
    <numFmt numFmtId="169" formatCode="&quot;$&quot;#,##0_);[Red]\(&quot;$&quot;#,##0\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2"/>
      <color rgb="FF0000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2773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top"/>
    </xf>
    <xf numFmtId="169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  <xf numFmtId="0" fontId="14" fillId="0" borderId="0">
      <alignment vertical="top"/>
    </xf>
    <xf numFmtId="0" fontId="2" fillId="0" borderId="0">
      <alignment vertical="top"/>
    </xf>
    <xf numFmtId="166" fontId="2" fillId="0" borderId="0">
      <alignment vertical="top"/>
    </xf>
  </cellStyleXfs>
  <cellXfs count="81"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10" fontId="8" fillId="0" borderId="0" xfId="0" applyNumberFormat="1" applyFont="1" applyAlignment="1" applyProtection="1">
      <protection locked="0"/>
    </xf>
    <xf numFmtId="0" fontId="9" fillId="0" borderId="0" xfId="0" applyFont="1" applyAlignment="1"/>
    <xf numFmtId="7" fontId="10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3" applyFont="1" applyAlignment="1"/>
    <xf numFmtId="0" fontId="9" fillId="0" borderId="0" xfId="3" applyFont="1" applyAlignment="1"/>
    <xf numFmtId="0" fontId="13" fillId="0" borderId="0" xfId="0" applyFont="1" applyAlignment="1">
      <alignment horizontal="center"/>
    </xf>
    <xf numFmtId="7" fontId="9" fillId="0" borderId="0" xfId="0" applyNumberFormat="1" applyFont="1" applyAlignment="1"/>
    <xf numFmtId="5" fontId="2" fillId="0" borderId="0" xfId="0" applyNumberFormat="1" applyFont="1" applyAlignment="1"/>
    <xf numFmtId="7" fontId="2" fillId="0" borderId="0" xfId="0" applyNumberFormat="1" applyFont="1" applyAlignment="1"/>
    <xf numFmtId="0" fontId="3" fillId="0" borderId="0" xfId="0" applyFont="1" applyAlignment="1"/>
    <xf numFmtId="7" fontId="9" fillId="0" borderId="0" xfId="0" applyNumberFormat="1" applyFont="1" applyAlignment="1">
      <alignment horizontal="right"/>
    </xf>
    <xf numFmtId="7" fontId="2" fillId="0" borderId="0" xfId="0" applyNumberFormat="1" applyFont="1" applyAlignment="1">
      <alignment horizontal="right"/>
    </xf>
    <xf numFmtId="167" fontId="2" fillId="0" borderId="0" xfId="0" applyNumberFormat="1" applyFont="1" applyAlignment="1"/>
    <xf numFmtId="167" fontId="10" fillId="0" borderId="0" xfId="0" applyNumberFormat="1" applyFont="1" applyAlignment="1"/>
    <xf numFmtId="167" fontId="9" fillId="0" borderId="0" xfId="0" applyNumberFormat="1" applyFont="1" applyAlignment="1"/>
    <xf numFmtId="167" fontId="9" fillId="0" borderId="0" xfId="0" applyNumberFormat="1" applyFont="1" applyAlignment="1">
      <alignment horizontal="right"/>
    </xf>
    <xf numFmtId="7" fontId="18" fillId="0" borderId="0" xfId="0" applyNumberFormat="1" applyFont="1" applyAlignment="1" applyProtection="1">
      <protection locked="0"/>
    </xf>
    <xf numFmtId="7" fontId="8" fillId="0" borderId="0" xfId="0" applyNumberFormat="1" applyFont="1" applyAlignment="1" applyProtection="1">
      <protection locked="0"/>
    </xf>
    <xf numFmtId="168" fontId="9" fillId="0" borderId="0" xfId="0" applyNumberFormat="1" applyFont="1" applyAlignment="1"/>
    <xf numFmtId="0" fontId="9" fillId="0" borderId="0" xfId="0" applyFont="1" applyAlignment="1">
      <alignment horizontal="left"/>
    </xf>
    <xf numFmtId="3" fontId="18" fillId="0" borderId="0" xfId="0" applyNumberFormat="1" applyFont="1" applyAlignment="1" applyProtection="1">
      <alignment horizontal="right"/>
      <protection locked="0"/>
    </xf>
    <xf numFmtId="166" fontId="11" fillId="0" borderId="0" xfId="6" applyFont="1">
      <alignment vertical="top"/>
    </xf>
    <xf numFmtId="0" fontId="19" fillId="0" borderId="0" xfId="0" applyFont="1" applyAlignment="1"/>
    <xf numFmtId="5" fontId="8" fillId="0" borderId="0" xfId="3" applyNumberFormat="1" applyFont="1" applyAlignment="1" applyProtection="1">
      <protection locked="0"/>
    </xf>
    <xf numFmtId="2" fontId="18" fillId="0" borderId="0" xfId="3" applyNumberFormat="1" applyFont="1" applyAlignment="1" applyProtection="1">
      <protection locked="0"/>
    </xf>
    <xf numFmtId="0" fontId="2" fillId="0" borderId="0" xfId="3" applyFont="1">
      <alignment vertical="top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4" fillId="0" borderId="0" xfId="0" applyFont="1" applyAlignment="1"/>
    <xf numFmtId="9" fontId="18" fillId="0" borderId="0" xfId="3" applyNumberFormat="1" applyFont="1" applyAlignment="1" applyProtection="1">
      <protection locked="0"/>
    </xf>
    <xf numFmtId="3" fontId="5" fillId="0" borderId="0" xfId="0" applyNumberFormat="1" applyFont="1" applyAlignment="1"/>
    <xf numFmtId="0" fontId="2" fillId="0" borderId="0" xfId="3" applyFont="1" applyAlignment="1">
      <alignment horizontal="left"/>
    </xf>
    <xf numFmtId="164" fontId="18" fillId="0" borderId="0" xfId="3" applyNumberFormat="1" applyFont="1" applyAlignment="1" applyProtection="1">
      <alignment horizontal="right"/>
      <protection locked="0"/>
    </xf>
    <xf numFmtId="0" fontId="2" fillId="0" borderId="0" xfId="3" applyFont="1" applyAlignment="1">
      <alignment horizontal="left" vertical="top"/>
    </xf>
    <xf numFmtId="166" fontId="9" fillId="0" borderId="0" xfId="0" applyNumberFormat="1" applyFont="1" applyAlignment="1"/>
    <xf numFmtId="7" fontId="11" fillId="0" borderId="0" xfId="0" applyNumberFormat="1" applyFont="1" applyAlignment="1"/>
    <xf numFmtId="166" fontId="2" fillId="0" borderId="0" xfId="3" applyNumberFormat="1" applyFont="1" applyAlignment="1"/>
    <xf numFmtId="0" fontId="3" fillId="0" borderId="1" xfId="0" applyFont="1" applyBorder="1" applyAlignment="1"/>
    <xf numFmtId="0" fontId="26" fillId="0" borderId="0" xfId="0" applyFont="1" applyAlignment="1">
      <alignment horizontal="left" vertical="center"/>
    </xf>
    <xf numFmtId="0" fontId="0" fillId="0" borderId="2" xfId="0" applyBorder="1" applyAlignment="1"/>
    <xf numFmtId="165" fontId="0" fillId="0" borderId="0" xfId="0" applyNumberFormat="1" applyAlignment="1"/>
    <xf numFmtId="166" fontId="0" fillId="0" borderId="0" xfId="0" applyNumberFormat="1" applyAlignment="1"/>
    <xf numFmtId="0" fontId="19" fillId="0" borderId="2" xfId="0" applyFont="1" applyBorder="1" applyAlignment="1">
      <alignment horizontal="right"/>
    </xf>
    <xf numFmtId="1" fontId="0" fillId="0" borderId="0" xfId="0" applyNumberFormat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2" fontId="2" fillId="0" borderId="2" xfId="3" applyNumberFormat="1" applyFont="1" applyBorder="1" applyAlignment="1" applyProtection="1">
      <alignment horizontal="right"/>
      <protection locked="0"/>
    </xf>
    <xf numFmtId="0" fontId="9" fillId="0" borderId="2" xfId="3" applyFont="1" applyBorder="1" applyAlignment="1">
      <alignment horizontal="center"/>
    </xf>
    <xf numFmtId="0" fontId="2" fillId="0" borderId="2" xfId="0" applyFont="1" applyBorder="1" applyAlignment="1"/>
    <xf numFmtId="0" fontId="27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0" fontId="8" fillId="0" borderId="0" xfId="3" applyNumberFormat="1" applyFont="1" applyAlignment="1" applyProtection="1">
      <protection locked="0"/>
    </xf>
    <xf numFmtId="0" fontId="9" fillId="0" borderId="0" xfId="0" applyFont="1" applyAlignment="1">
      <alignment horizontal="center"/>
    </xf>
    <xf numFmtId="0" fontId="19" fillId="0" borderId="2" xfId="0" applyFont="1" applyBorder="1" applyAlignment="1"/>
    <xf numFmtId="0" fontId="27" fillId="0" borderId="2" xfId="0" applyFont="1" applyBorder="1" applyAlignment="1"/>
    <xf numFmtId="0" fontId="5" fillId="0" borderId="2" xfId="0" applyFont="1" applyBorder="1" applyAlignment="1"/>
    <xf numFmtId="0" fontId="31" fillId="2" borderId="0" xfId="0" applyFont="1" applyFill="1" applyAlignment="1"/>
    <xf numFmtId="0" fontId="31" fillId="2" borderId="0" xfId="0" applyFont="1" applyFill="1" applyAlignment="1">
      <alignment horizontal="center"/>
    </xf>
    <xf numFmtId="0" fontId="32" fillId="2" borderId="0" xfId="0" applyFont="1" applyFill="1" applyAlignment="1"/>
    <xf numFmtId="0" fontId="33" fillId="2" borderId="0" xfId="0" applyFont="1" applyFill="1" applyAlignment="1">
      <alignment horizontal="right"/>
    </xf>
    <xf numFmtId="14" fontId="33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/>
    <xf numFmtId="3" fontId="24" fillId="2" borderId="0" xfId="0" applyNumberFormat="1" applyFont="1" applyFill="1" applyAlignment="1"/>
    <xf numFmtId="3" fontId="25" fillId="2" borderId="0" xfId="0" applyNumberFormat="1" applyFont="1" applyFill="1" applyAlignment="1"/>
    <xf numFmtId="0" fontId="30" fillId="2" borderId="0" xfId="0" applyFont="1" applyFill="1" applyAlignment="1">
      <alignment vertical="center"/>
    </xf>
    <xf numFmtId="2" fontId="2" fillId="0" borderId="0" xfId="3" applyNumberFormat="1" applyFont="1" applyAlignment="1">
      <alignment horizontal="right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7">
    <cellStyle name="Curr ($1,234) L Black" xfId="1" xr:uid="{00000000-0005-0000-0000-000000000000}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Farrow-Wean 500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27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cost-production/pubs/cop-forage-alfalfa-hay.xlsm" TargetMode="External"/><Relationship Id="rId2" Type="http://schemas.openxmlformats.org/officeDocument/2006/relationships/hyperlink" Target="https://www.gov.mb.ca/agriculture/farm-management/farm-machinery/index.html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https://www.gov.mb.ca/agriculture/farm-management/farm-business-management-contact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274321</xdr:colOff>
      <xdr:row>0</xdr:row>
      <xdr:rowOff>145151</xdr:rowOff>
    </xdr:from>
    <xdr:to>
      <xdr:col>9</xdr:col>
      <xdr:colOff>456210</xdr:colOff>
      <xdr:row>1</xdr:row>
      <xdr:rowOff>137531</xdr:rowOff>
    </xdr:to>
    <xdr:pic>
      <xdr:nvPicPr>
        <xdr:cNvPr id="29260" name="Picture 2" descr="Government of Manitoba logo">
          <a:extLst>
            <a:ext uri="{FF2B5EF4-FFF2-40B4-BE49-F238E27FC236}">
              <a16:creationId xmlns:a16="http://schemas.microsoft.com/office/drawing/2014/main" id="{00000000-0008-0000-0000-00004C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419" y="145151"/>
          <a:ext cx="1746157" cy="33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253365</xdr:colOff>
      <xdr:row>15</xdr:row>
      <xdr:rowOff>88127</xdr:rowOff>
    </xdr:from>
    <xdr:to>
      <xdr:col>6</xdr:col>
      <xdr:colOff>673721</xdr:colOff>
      <xdr:row>17</xdr:row>
      <xdr:rowOff>30977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21658" y="3278615"/>
          <a:ext cx="3548892" cy="23711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Farm Machinery Cost of Production Guide 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414650</xdr:colOff>
      <xdr:row>16</xdr:row>
      <xdr:rowOff>186375</xdr:rowOff>
    </xdr:from>
    <xdr:to>
      <xdr:col>6</xdr:col>
      <xdr:colOff>565305</xdr:colOff>
      <xdr:row>18</xdr:row>
      <xdr:rowOff>16665</xdr:rowOff>
    </xdr:to>
    <xdr:sp macro="" textlink="">
      <xdr:nvSpPr>
        <xdr:cNvPr id="6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82943" y="3469790"/>
          <a:ext cx="3279191" cy="23297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Hay: Round Bale and Silage Production Costs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1657195</xdr:colOff>
      <xdr:row>71</xdr:row>
      <xdr:rowOff>61952</xdr:rowOff>
    </xdr:from>
    <xdr:to>
      <xdr:col>6</xdr:col>
      <xdr:colOff>233556</xdr:colOff>
      <xdr:row>74</xdr:row>
      <xdr:rowOff>178188</xdr:rowOff>
    </xdr:to>
    <xdr:pic>
      <xdr:nvPicPr>
        <xdr:cNvPr id="7" name="Picture 5" descr="Contact Us information including a link to Farm Management Specialists listing">
          <a:hlinkClick xmlns:r="http://schemas.openxmlformats.org/officeDocument/2006/relationships" r:id="rId4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585" y="13714452"/>
          <a:ext cx="3733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P78"/>
  <sheetViews>
    <sheetView showGridLines="0" tabSelected="1" zoomScaleNormal="100" workbookViewId="0">
      <selection activeCell="B1" sqref="B1"/>
    </sheetView>
  </sheetViews>
  <sheetFormatPr defaultColWidth="10.21875" defaultRowHeight="17.399999999999999" x14ac:dyDescent="0.3"/>
  <cols>
    <col min="1" max="1" width="2.21875" style="1" customWidth="1"/>
    <col min="2" max="2" width="30.44140625" style="1" customWidth="1"/>
    <col min="3" max="8" width="11.77734375" style="1" customWidth="1"/>
    <col min="9" max="11" width="11.77734375" style="2" customWidth="1"/>
    <col min="12" max="16384" width="10.21875" style="2"/>
  </cols>
  <sheetData>
    <row r="1" spans="1:10" customFormat="1" ht="27" customHeight="1" x14ac:dyDescent="0.25">
      <c r="A1" s="35"/>
      <c r="B1" s="35"/>
      <c r="C1" s="36"/>
      <c r="D1" s="36"/>
      <c r="E1" s="36"/>
      <c r="F1" s="36"/>
    </row>
    <row r="2" spans="1:10" customFormat="1" ht="27.6" x14ac:dyDescent="0.45">
      <c r="A2" s="37" t="s">
        <v>47</v>
      </c>
      <c r="B2" s="35"/>
      <c r="C2" s="36"/>
      <c r="D2" s="36"/>
      <c r="E2" s="36"/>
      <c r="F2" s="36"/>
    </row>
    <row r="3" spans="1:10" customFormat="1" x14ac:dyDescent="0.25">
      <c r="A3" s="77" t="s">
        <v>57</v>
      </c>
      <c r="B3" s="69"/>
      <c r="C3" s="70"/>
      <c r="D3" s="70"/>
      <c r="E3" s="71"/>
      <c r="F3" s="71"/>
      <c r="G3" s="71"/>
      <c r="H3" s="71"/>
      <c r="I3" s="72" t="s">
        <v>23</v>
      </c>
      <c r="J3" s="73">
        <f ca="1">TODAY()</f>
        <v>45575</v>
      </c>
    </row>
    <row r="4" spans="1:10" s="35" customFormat="1" ht="13.8" x14ac:dyDescent="0.25">
      <c r="A4" s="38"/>
      <c r="C4" s="39" t="s">
        <v>31</v>
      </c>
    </row>
    <row r="5" spans="1:10" s="35" customFormat="1" ht="13.8" x14ac:dyDescent="0.25">
      <c r="A5" s="38" t="s">
        <v>24</v>
      </c>
    </row>
    <row r="6" spans="1:10" s="12" customFormat="1" ht="15.6" x14ac:dyDescent="0.3">
      <c r="B6" s="12" t="s">
        <v>16</v>
      </c>
      <c r="D6" s="32">
        <v>3000</v>
      </c>
      <c r="E6" s="13"/>
      <c r="F6" s="4" t="s">
        <v>25</v>
      </c>
      <c r="I6" s="26">
        <v>18</v>
      </c>
    </row>
    <row r="7" spans="1:10" s="12" customFormat="1" ht="15.6" x14ac:dyDescent="0.3">
      <c r="B7" s="12" t="s">
        <v>12</v>
      </c>
      <c r="D7" s="64">
        <v>0.04</v>
      </c>
      <c r="F7" s="4" t="s">
        <v>21</v>
      </c>
      <c r="I7" s="26">
        <v>15</v>
      </c>
    </row>
    <row r="8" spans="1:10" s="12" customFormat="1" ht="15.6" x14ac:dyDescent="0.3">
      <c r="B8" s="34" t="s">
        <v>28</v>
      </c>
      <c r="D8" s="40">
        <v>0.1</v>
      </c>
      <c r="F8" s="4" t="s">
        <v>22</v>
      </c>
      <c r="I8" s="26">
        <v>3</v>
      </c>
    </row>
    <row r="9" spans="1:10" s="1" customFormat="1" ht="15" customHeight="1" x14ac:dyDescent="0.3">
      <c r="A9" s="3"/>
      <c r="B9" s="34" t="s">
        <v>32</v>
      </c>
      <c r="C9" s="12"/>
      <c r="D9" s="40">
        <v>0.05</v>
      </c>
      <c r="F9" s="4" t="s">
        <v>11</v>
      </c>
      <c r="I9" s="6">
        <v>7.4999999999999997E-2</v>
      </c>
    </row>
    <row r="10" spans="1:10" ht="7.5" customHeight="1" x14ac:dyDescent="0.3">
      <c r="G10" s="2"/>
      <c r="I10" s="1"/>
    </row>
    <row r="11" spans="1:10" s="1" customFormat="1" ht="15" customHeight="1" x14ac:dyDescent="0.3">
      <c r="A11" s="28" t="s">
        <v>48</v>
      </c>
      <c r="B11" s="4"/>
      <c r="C11" s="4"/>
      <c r="D11" s="3"/>
      <c r="E11" s="7" t="s">
        <v>49</v>
      </c>
      <c r="H11" s="3"/>
    </row>
    <row r="12" spans="1:10" s="12" customFormat="1" ht="15.6" x14ac:dyDescent="0.3">
      <c r="B12" s="42" t="s">
        <v>35</v>
      </c>
      <c r="D12" s="43">
        <v>0.126</v>
      </c>
      <c r="F12" s="42" t="s">
        <v>36</v>
      </c>
      <c r="I12" s="43">
        <v>0.5</v>
      </c>
    </row>
    <row r="13" spans="1:10" s="12" customFormat="1" ht="15.6" x14ac:dyDescent="0.3">
      <c r="B13" s="34" t="s">
        <v>37</v>
      </c>
      <c r="D13" s="33">
        <v>2.79</v>
      </c>
      <c r="E13" s="42"/>
      <c r="F13" s="44" t="s">
        <v>37</v>
      </c>
      <c r="I13" s="78">
        <f>ROUND((D13-(D13*D12))/(1-I12),2)</f>
        <v>4.88</v>
      </c>
    </row>
    <row r="14" spans="1:10" s="12" customFormat="1" ht="15.6" x14ac:dyDescent="0.3">
      <c r="B14" s="1" t="s">
        <v>38</v>
      </c>
      <c r="C14" s="1"/>
      <c r="D14" s="26">
        <v>115</v>
      </c>
      <c r="F14" s="44" t="s">
        <v>39</v>
      </c>
      <c r="I14" s="47">
        <f>ROUND((D14*((1-I12)*2000)/((1-D12)*2000)),2)</f>
        <v>65.790000000000006</v>
      </c>
    </row>
    <row r="15" spans="1:10" s="12" customFormat="1" ht="15.6" x14ac:dyDescent="0.3">
      <c r="B15" s="4" t="s">
        <v>33</v>
      </c>
      <c r="D15" s="29">
        <v>1400</v>
      </c>
      <c r="E15" s="42"/>
      <c r="F15" s="4" t="s">
        <v>33</v>
      </c>
      <c r="I15" s="29">
        <v>1800</v>
      </c>
    </row>
    <row r="16" spans="1:10" s="12" customFormat="1" ht="7.5" customHeight="1" x14ac:dyDescent="0.3">
      <c r="B16" s="44"/>
      <c r="C16" s="13"/>
      <c r="D16" s="47"/>
    </row>
    <row r="17" spans="1:10" customFormat="1" ht="15.75" customHeight="1" x14ac:dyDescent="0.25">
      <c r="A17" s="49" t="s">
        <v>29</v>
      </c>
      <c r="C17" s="31"/>
      <c r="D17" s="31"/>
    </row>
    <row r="18" spans="1:10" customFormat="1" ht="15.75" customHeight="1" x14ac:dyDescent="0.25">
      <c r="A18" s="49" t="s">
        <v>30</v>
      </c>
      <c r="C18" s="31"/>
      <c r="D18" s="31"/>
    </row>
    <row r="19" spans="1:10" s="1" customFormat="1" ht="7.5" customHeight="1" x14ac:dyDescent="0.3">
      <c r="A19" s="3"/>
      <c r="B19" s="4"/>
      <c r="C19" s="4"/>
      <c r="D19" s="3"/>
      <c r="E19" s="6"/>
      <c r="F19" s="3"/>
      <c r="G19" s="3"/>
      <c r="I19" s="11"/>
    </row>
    <row r="20" spans="1:10" s="41" customFormat="1" ht="15" customHeight="1" x14ac:dyDescent="0.3">
      <c r="A20" s="74" t="s">
        <v>50</v>
      </c>
      <c r="B20" s="75"/>
      <c r="C20" s="75"/>
      <c r="D20" s="76"/>
      <c r="E20" s="74"/>
      <c r="F20" s="74"/>
      <c r="G20" s="76"/>
      <c r="H20" s="75"/>
      <c r="I20" s="75"/>
      <c r="J20" s="75"/>
    </row>
    <row r="21" spans="1:10" s="1" customFormat="1" ht="16.2" customHeight="1" x14ac:dyDescent="0.3">
      <c r="A21" s="44"/>
      <c r="D21" s="57"/>
      <c r="E21" s="58" t="s">
        <v>51</v>
      </c>
      <c r="F21" s="59"/>
      <c r="H21" s="59"/>
      <c r="I21" s="60" t="s">
        <v>52</v>
      </c>
      <c r="J21" s="59"/>
    </row>
    <row r="22" spans="1:10" s="9" customFormat="1" ht="15.75" customHeight="1" x14ac:dyDescent="0.25">
      <c r="D22" s="14" t="s">
        <v>0</v>
      </c>
      <c r="E22" s="14" t="s">
        <v>13</v>
      </c>
      <c r="F22" s="14" t="s">
        <v>14</v>
      </c>
      <c r="H22" s="14" t="s">
        <v>0</v>
      </c>
      <c r="I22" s="14" t="s">
        <v>13</v>
      </c>
      <c r="J22" s="14" t="s">
        <v>14</v>
      </c>
    </row>
    <row r="23" spans="1:10" s="9" customFormat="1" ht="15.75" customHeight="1" x14ac:dyDescent="0.3">
      <c r="A23" s="7" t="s">
        <v>40</v>
      </c>
      <c r="B23" s="1"/>
      <c r="D23" s="15">
        <f>SUM(D14*D13)</f>
        <v>320.85000000000002</v>
      </c>
      <c r="E23" s="15">
        <f>D14</f>
        <v>115</v>
      </c>
      <c r="F23" s="23">
        <f>SUM(E23/2000)</f>
        <v>5.7500000000000002E-2</v>
      </c>
      <c r="H23" s="15">
        <f>D23</f>
        <v>320.85000000000002</v>
      </c>
      <c r="I23" s="15">
        <f>I14</f>
        <v>65.790000000000006</v>
      </c>
      <c r="J23" s="23">
        <f>SUM(I23/2000)</f>
        <v>3.2895000000000001E-2</v>
      </c>
    </row>
    <row r="24" spans="1:10" s="9" customFormat="1" ht="7.5" customHeight="1" x14ac:dyDescent="0.25">
      <c r="A24" s="1"/>
      <c r="B24" s="1"/>
      <c r="D24" s="46"/>
      <c r="E24" s="17"/>
      <c r="F24" s="21"/>
    </row>
    <row r="25" spans="1:10" ht="15.75" customHeight="1" x14ac:dyDescent="0.3">
      <c r="A25" s="7" t="s">
        <v>26</v>
      </c>
      <c r="C25" s="2"/>
      <c r="D25" s="18"/>
      <c r="H25" s="2"/>
    </row>
    <row r="26" spans="1:10" ht="15.75" customHeight="1" x14ac:dyDescent="0.3">
      <c r="B26" s="1" t="s">
        <v>20</v>
      </c>
      <c r="C26" s="2"/>
      <c r="D26" s="20">
        <f>I6</f>
        <v>18</v>
      </c>
      <c r="E26" s="17">
        <f>SUM(D26/'standing hay calc'!$D$13)</f>
        <v>6.4516129032258061</v>
      </c>
      <c r="F26" s="21">
        <f>SUM(E26/2000)</f>
        <v>3.2258064516129032E-3</v>
      </c>
      <c r="H26" s="20">
        <f>I6</f>
        <v>18</v>
      </c>
      <c r="I26" s="17">
        <f>SUM(H26/'standing hay calc'!$I$13)</f>
        <v>3.6885245901639343</v>
      </c>
      <c r="J26" s="21">
        <f>SUM(I26/2000)</f>
        <v>1.844262295081967E-3</v>
      </c>
    </row>
    <row r="27" spans="1:10" ht="15.75" customHeight="1" x14ac:dyDescent="0.3">
      <c r="B27" s="1" t="s">
        <v>18</v>
      </c>
      <c r="C27" s="2"/>
      <c r="D27" s="20">
        <f>SUM(D13*2000)/D15*I7</f>
        <v>59.785714285714285</v>
      </c>
      <c r="E27" s="17">
        <f>SUM(D27/'standing hay calc'!$D$13)</f>
        <v>21.428571428571427</v>
      </c>
      <c r="F27" s="21">
        <f>SUM(E27/2000)</f>
        <v>1.0714285714285714E-2</v>
      </c>
      <c r="H27" s="20">
        <f>SUM(I13*2000)/I15*I7</f>
        <v>81.333333333333343</v>
      </c>
      <c r="I27" s="17">
        <f>SUM(H27/'standing hay calc'!$I$13)</f>
        <v>16.666666666666668</v>
      </c>
      <c r="J27" s="21">
        <f>SUM(I27/2000)</f>
        <v>8.3333333333333332E-3</v>
      </c>
    </row>
    <row r="28" spans="1:10" ht="15.75" customHeight="1" x14ac:dyDescent="0.3">
      <c r="B28" s="1" t="s">
        <v>19</v>
      </c>
      <c r="C28" s="2"/>
      <c r="D28" s="20">
        <f>SUM(D13*2000)/D15*I8</f>
        <v>11.957142857142857</v>
      </c>
      <c r="E28" s="17">
        <f>SUM(D28/'standing hay calc'!$D$13)</f>
        <v>4.2857142857142856</v>
      </c>
      <c r="F28" s="21">
        <f>SUM(E28/2000)</f>
        <v>2.142857142857143E-3</v>
      </c>
      <c r="H28" s="20">
        <f>SUM(I13*2000)/I15*I8</f>
        <v>16.266666666666666</v>
      </c>
      <c r="I28" s="17">
        <f>SUM(H28/'standing hay calc'!$I$13)</f>
        <v>3.333333333333333</v>
      </c>
      <c r="J28" s="21">
        <f>SUM(I28/2000)</f>
        <v>1.6666666666666666E-3</v>
      </c>
    </row>
    <row r="29" spans="1:10" ht="15.75" customHeight="1" x14ac:dyDescent="0.3">
      <c r="B29" s="1" t="s">
        <v>5</v>
      </c>
      <c r="C29" s="2"/>
      <c r="D29" s="25">
        <v>0</v>
      </c>
      <c r="E29" s="17">
        <f>SUM(D29/'standing hay calc'!$D$13)</f>
        <v>0</v>
      </c>
      <c r="F29" s="21">
        <f>SUM(E29/2000)</f>
        <v>0</v>
      </c>
      <c r="H29" s="25">
        <v>0</v>
      </c>
      <c r="I29" s="17">
        <f>SUM(H29/'standing hay calc'!$I$13)</f>
        <v>0</v>
      </c>
      <c r="J29" s="21">
        <f>SUM(I29/2000)</f>
        <v>0</v>
      </c>
    </row>
    <row r="30" spans="1:10" ht="15.75" customHeight="1" x14ac:dyDescent="0.3">
      <c r="B30" s="1" t="s">
        <v>7</v>
      </c>
      <c r="C30" s="2"/>
      <c r="D30" s="8">
        <f>ROUND(SUM(D26:D29)/2*(I9),2)</f>
        <v>3.37</v>
      </c>
      <c r="E30" s="8">
        <f>SUM(D30/'standing hay calc'!$D$13)</f>
        <v>1.2078853046594982</v>
      </c>
      <c r="F30" s="22">
        <f>SUM(E30/2000)</f>
        <v>6.0394265232974914E-4</v>
      </c>
      <c r="H30" s="8">
        <f>ROUND(SUM(D26:D29)/2*(I9),2)</f>
        <v>3.37</v>
      </c>
      <c r="I30" s="8">
        <f>SUM(H30/'standing hay calc'!$I$13)</f>
        <v>0.69057377049180335</v>
      </c>
      <c r="J30" s="22">
        <f>SUM(I30/2000)</f>
        <v>3.4528688524590169E-4</v>
      </c>
    </row>
    <row r="31" spans="1:10" ht="15.75" customHeight="1" x14ac:dyDescent="0.3">
      <c r="B31" s="7" t="s">
        <v>27</v>
      </c>
      <c r="C31" s="2"/>
      <c r="D31" s="15">
        <f>SUM(D26:D30)</f>
        <v>93.112857142857138</v>
      </c>
      <c r="E31" s="15">
        <f>SUM(E26:E30)</f>
        <v>33.373783922171015</v>
      </c>
      <c r="F31" s="23">
        <f>SUM(F26:F30)</f>
        <v>1.6686891961085509E-2</v>
      </c>
      <c r="H31" s="15">
        <f>SUM(H26:H30)</f>
        <v>118.97000000000001</v>
      </c>
      <c r="I31" s="15">
        <f>SUM(I26:I30)</f>
        <v>24.379098360655735</v>
      </c>
      <c r="J31" s="23">
        <f>SUM(J26:J30)</f>
        <v>1.2189549180327868E-2</v>
      </c>
    </row>
    <row r="32" spans="1:10" ht="8.1" customHeight="1" x14ac:dyDescent="0.3">
      <c r="C32" s="2"/>
      <c r="D32" s="17"/>
      <c r="H32" s="17"/>
      <c r="I32" s="1"/>
      <c r="J32" s="1"/>
    </row>
    <row r="33" spans="1:10" ht="15.75" customHeight="1" x14ac:dyDescent="0.3">
      <c r="A33" s="7" t="str">
        <f>"C.  Discount for Risk ("&amp;D8*100&amp;"%)"</f>
        <v>C.  Discount for Risk (10%)</v>
      </c>
      <c r="C33" s="2"/>
      <c r="D33" s="15">
        <f>SUM(E33*D13)</f>
        <v>32.085000000000001</v>
      </c>
      <c r="E33" s="15">
        <f>SUM(D14*D8)</f>
        <v>11.5</v>
      </c>
      <c r="F33" s="23">
        <f>SUM(E33/2000)</f>
        <v>5.7499999999999999E-3</v>
      </c>
      <c r="H33" s="15">
        <f>SUM(I33*I13)</f>
        <v>32.105520000000006</v>
      </c>
      <c r="I33" s="15">
        <f>SUM(I14*D8)</f>
        <v>6.5790000000000006</v>
      </c>
      <c r="J33" s="23">
        <f>SUM(I33/2000)</f>
        <v>3.2895000000000003E-3</v>
      </c>
    </row>
    <row r="34" spans="1:10" s="5" customFormat="1" ht="7.5" customHeight="1" x14ac:dyDescent="0.3">
      <c r="A34" s="7"/>
      <c r="B34" s="7"/>
      <c r="D34" s="15"/>
      <c r="E34" s="19"/>
      <c r="F34" s="24"/>
      <c r="G34" s="7"/>
      <c r="H34" s="15"/>
      <c r="I34" s="19"/>
      <c r="J34" s="24"/>
    </row>
    <row r="35" spans="1:10" s="5" customFormat="1" ht="15.75" customHeight="1" x14ac:dyDescent="0.3">
      <c r="A35" s="7" t="s">
        <v>41</v>
      </c>
      <c r="B35" s="7"/>
      <c r="D35" s="45">
        <f>SUM(D23-D31-D33)</f>
        <v>195.65214285714288</v>
      </c>
      <c r="E35" s="45">
        <f>SUM(E23-E31-E33)</f>
        <v>70.126216077828985</v>
      </c>
      <c r="F35" s="27">
        <f>SUM(F23-F31-F33)</f>
        <v>3.5063108038914499E-2</v>
      </c>
      <c r="G35" s="7"/>
      <c r="H35" s="45">
        <f>SUM(H23-H31-H33)</f>
        <v>169.77447999999998</v>
      </c>
      <c r="I35" s="45">
        <f>SUM(I23-I31-I33)</f>
        <v>34.831901639344274</v>
      </c>
      <c r="J35" s="27">
        <f>SUM(J23-J31-J33)</f>
        <v>1.7415950819672132E-2</v>
      </c>
    </row>
    <row r="36" spans="1:10" s="5" customFormat="1" ht="7.5" customHeight="1" x14ac:dyDescent="0.3">
      <c r="A36" s="7"/>
      <c r="B36" s="7"/>
      <c r="D36" s="45"/>
      <c r="E36" s="45"/>
      <c r="F36" s="27"/>
      <c r="G36" s="7"/>
      <c r="H36" s="45"/>
      <c r="I36" s="45"/>
      <c r="J36" s="27"/>
    </row>
    <row r="37" spans="1:10" ht="15.75" customHeight="1" x14ac:dyDescent="0.3">
      <c r="A37" s="7" t="s">
        <v>42</v>
      </c>
      <c r="B37" s="7"/>
      <c r="C37" s="16"/>
      <c r="D37" s="16"/>
      <c r="E37" s="20"/>
      <c r="F37" s="19">
        <f>F35*D15</f>
        <v>49.088351254480301</v>
      </c>
      <c r="G37" s="20"/>
      <c r="J37" s="45">
        <f>J35*I15</f>
        <v>31.348711475409836</v>
      </c>
    </row>
    <row r="38" spans="1:10" ht="7.5" customHeight="1" x14ac:dyDescent="0.3">
      <c r="A38" s="7"/>
      <c r="B38" s="7"/>
      <c r="C38" s="16"/>
      <c r="D38" s="16"/>
      <c r="E38" s="20"/>
      <c r="F38" s="19"/>
      <c r="G38" s="20"/>
      <c r="J38" s="45"/>
    </row>
    <row r="39" spans="1:10" s="41" customFormat="1" ht="15" customHeight="1" x14ac:dyDescent="0.3">
      <c r="A39" s="74" t="s">
        <v>53</v>
      </c>
      <c r="B39" s="75"/>
      <c r="C39" s="75"/>
      <c r="D39" s="76"/>
      <c r="E39" s="74"/>
      <c r="F39" s="74"/>
      <c r="G39" s="76"/>
      <c r="H39" s="75"/>
      <c r="I39" s="75"/>
      <c r="J39" s="75"/>
    </row>
    <row r="40" spans="1:10" s="1" customFormat="1" ht="7.5" customHeight="1" x14ac:dyDescent="0.3">
      <c r="D40" s="26"/>
      <c r="I40" s="11"/>
    </row>
    <row r="41" spans="1:10" s="1" customFormat="1" ht="1.05" customHeight="1" x14ac:dyDescent="0.3">
      <c r="A41" s="28"/>
      <c r="B41" s="4"/>
      <c r="C41" s="4"/>
      <c r="D41" s="3"/>
      <c r="E41" s="6"/>
      <c r="F41" s="3"/>
      <c r="G41" s="3"/>
      <c r="I41" s="11"/>
    </row>
    <row r="42" spans="1:10" s="10" customFormat="1" ht="15.6" x14ac:dyDescent="0.3">
      <c r="D42" s="65" t="s">
        <v>54</v>
      </c>
      <c r="H42" s="28"/>
    </row>
    <row r="43" spans="1:10" s="9" customFormat="1" ht="15.75" customHeight="1" x14ac:dyDescent="0.3">
      <c r="D43" s="63" t="s">
        <v>0</v>
      </c>
      <c r="H43" s="14"/>
    </row>
    <row r="44" spans="1:10" ht="15.75" customHeight="1" x14ac:dyDescent="0.3">
      <c r="A44" s="7" t="s">
        <v>2</v>
      </c>
      <c r="C44" s="2"/>
      <c r="F44" s="2"/>
      <c r="G44" s="2"/>
    </row>
    <row r="45" spans="1:10" ht="15.75" customHeight="1" x14ac:dyDescent="0.3">
      <c r="A45" s="7"/>
      <c r="B45" s="1" t="s">
        <v>56</v>
      </c>
      <c r="C45" s="2"/>
      <c r="D45" s="25">
        <v>35.47</v>
      </c>
      <c r="F45" s="2"/>
      <c r="G45" s="2"/>
    </row>
    <row r="46" spans="1:10" ht="15.75" customHeight="1" x14ac:dyDescent="0.3">
      <c r="B46" s="1" t="s">
        <v>46</v>
      </c>
      <c r="C46" s="2"/>
      <c r="D46" s="25">
        <v>36</v>
      </c>
      <c r="E46" s="21"/>
      <c r="F46" s="2"/>
      <c r="G46" s="2"/>
      <c r="H46" s="25"/>
    </row>
    <row r="47" spans="1:10" ht="15.75" customHeight="1" x14ac:dyDescent="0.3">
      <c r="B47" s="1" t="s">
        <v>3</v>
      </c>
      <c r="C47" s="2"/>
      <c r="D47" s="25">
        <v>80.94</v>
      </c>
      <c r="E47" s="21"/>
      <c r="F47" s="2"/>
      <c r="G47" s="2"/>
      <c r="H47" s="25"/>
    </row>
    <row r="48" spans="1:10" ht="15.75" customHeight="1" x14ac:dyDescent="0.3">
      <c r="B48" s="1" t="s">
        <v>17</v>
      </c>
      <c r="C48" s="2"/>
      <c r="D48" s="25">
        <v>11.16</v>
      </c>
      <c r="E48" s="21"/>
      <c r="F48" s="2"/>
      <c r="G48" s="2"/>
      <c r="H48" s="25"/>
    </row>
    <row r="49" spans="1:11" ht="15.75" customHeight="1" x14ac:dyDescent="0.3">
      <c r="B49" s="1" t="s">
        <v>15</v>
      </c>
      <c r="C49" s="2"/>
      <c r="D49" s="25">
        <v>0</v>
      </c>
      <c r="E49" s="21"/>
      <c r="F49" s="2"/>
      <c r="G49" s="2"/>
      <c r="H49" s="25"/>
    </row>
    <row r="50" spans="1:11" ht="15.75" customHeight="1" x14ac:dyDescent="0.3">
      <c r="B50" s="1" t="s">
        <v>4</v>
      </c>
      <c r="C50" s="2"/>
      <c r="D50" s="25">
        <v>9.64</v>
      </c>
      <c r="E50" s="21"/>
      <c r="F50" s="2"/>
      <c r="G50" s="2"/>
      <c r="H50" s="25"/>
    </row>
    <row r="51" spans="1:11" ht="15.75" customHeight="1" x14ac:dyDescent="0.3">
      <c r="B51" s="1" t="s">
        <v>5</v>
      </c>
      <c r="C51" s="2"/>
      <c r="D51" s="25">
        <v>2</v>
      </c>
      <c r="E51" s="21"/>
      <c r="F51" s="2"/>
      <c r="G51" s="2"/>
      <c r="H51" s="25"/>
    </row>
    <row r="52" spans="1:11" ht="15.75" customHeight="1" x14ac:dyDescent="0.3">
      <c r="B52" s="1" t="s">
        <v>6</v>
      </c>
      <c r="C52" s="2"/>
      <c r="D52" s="25">
        <v>15</v>
      </c>
      <c r="E52" s="21"/>
      <c r="F52" s="2"/>
      <c r="G52" s="2"/>
      <c r="H52" s="25"/>
    </row>
    <row r="53" spans="1:11" ht="15.75" customHeight="1" x14ac:dyDescent="0.3">
      <c r="B53" s="1" t="s">
        <v>7</v>
      </c>
      <c r="C53" s="2"/>
      <c r="D53" s="8">
        <f>ROUND(SUM(D45:D52)/2*(I9),2)</f>
        <v>7.13</v>
      </c>
      <c r="E53" s="21"/>
      <c r="F53" s="2"/>
      <c r="G53" s="2"/>
      <c r="H53" s="8"/>
    </row>
    <row r="54" spans="1:11" ht="15.75" customHeight="1" x14ac:dyDescent="0.3">
      <c r="B54" s="7" t="s">
        <v>9</v>
      </c>
      <c r="C54" s="2"/>
      <c r="D54" s="15">
        <f>SUM(D45:D53)</f>
        <v>197.33999999999997</v>
      </c>
      <c r="E54" s="23"/>
      <c r="F54" s="2"/>
      <c r="G54" s="2"/>
      <c r="H54" s="15"/>
    </row>
    <row r="55" spans="1:11" ht="8.1" customHeight="1" x14ac:dyDescent="0.3">
      <c r="C55" s="2"/>
      <c r="D55" s="17" t="s">
        <v>1</v>
      </c>
      <c r="F55" s="2"/>
      <c r="G55" s="2"/>
      <c r="H55" s="17"/>
    </row>
    <row r="56" spans="1:11" ht="15.75" customHeight="1" x14ac:dyDescent="0.3">
      <c r="A56" s="7" t="s">
        <v>8</v>
      </c>
      <c r="C56" s="2"/>
      <c r="D56" s="17" t="s">
        <v>1</v>
      </c>
      <c r="E56" s="55"/>
      <c r="F56" s="2"/>
      <c r="G56" s="2"/>
      <c r="H56" s="17"/>
      <c r="I56" s="55"/>
      <c r="J56" s="55"/>
    </row>
    <row r="57" spans="1:11" ht="15.75" customHeight="1" x14ac:dyDescent="0.3">
      <c r="B57" s="1" t="s">
        <v>43</v>
      </c>
      <c r="C57" s="2"/>
      <c r="D57" s="8">
        <f>(D6*0.84)*D7</f>
        <v>100.8</v>
      </c>
      <c r="E57" s="55"/>
      <c r="F57" s="2"/>
      <c r="G57" s="2"/>
      <c r="H57" s="8"/>
      <c r="I57" s="14"/>
      <c r="J57" s="14"/>
    </row>
    <row r="58" spans="1:11" ht="15.75" customHeight="1" x14ac:dyDescent="0.3">
      <c r="B58" s="7" t="s">
        <v>10</v>
      </c>
      <c r="C58" s="2"/>
      <c r="D58" s="15">
        <f>SUM(D57:D57)</f>
        <v>100.8</v>
      </c>
      <c r="E58" s="14"/>
      <c r="F58" s="2"/>
      <c r="G58" s="2"/>
      <c r="H58" s="15"/>
      <c r="I58" s="14"/>
      <c r="J58" s="14"/>
    </row>
    <row r="59" spans="1:11" ht="7.5" customHeight="1" x14ac:dyDescent="0.3">
      <c r="B59" s="7"/>
      <c r="C59" s="2"/>
      <c r="D59" s="15"/>
      <c r="E59" s="23"/>
      <c r="F59" s="2"/>
      <c r="G59" s="2"/>
      <c r="H59" s="15"/>
    </row>
    <row r="60" spans="1:11" ht="15.75" customHeight="1" x14ac:dyDescent="0.3">
      <c r="A60" s="62" t="str">
        <f>"Dry Hay @ "&amp;D12*100&amp;"% Moisture"</f>
        <v>Dry Hay @ 12.6% Moisture</v>
      </c>
      <c r="B60" s="2"/>
      <c r="C60" s="2"/>
      <c r="D60" s="14" t="s">
        <v>0</v>
      </c>
      <c r="E60" s="63" t="s">
        <v>44</v>
      </c>
      <c r="F60" s="63" t="s">
        <v>13</v>
      </c>
      <c r="G60" s="63" t="s">
        <v>14</v>
      </c>
      <c r="H60" s="15"/>
      <c r="I60" s="15"/>
      <c r="J60" s="15"/>
      <c r="K60" s="23"/>
    </row>
    <row r="61" spans="1:11" ht="15.75" customHeight="1" x14ac:dyDescent="0.3">
      <c r="A61" s="28"/>
      <c r="B61" s="28" t="s">
        <v>45</v>
      </c>
      <c r="C61" s="2"/>
      <c r="D61" s="15">
        <f>+D58+D54</f>
        <v>298.14</v>
      </c>
      <c r="E61" s="15">
        <f>D61/(D13*2000/D15)</f>
        <v>74.802150537634404</v>
      </c>
      <c r="F61" s="15">
        <f>D61/D13</f>
        <v>106.86021505376344</v>
      </c>
      <c r="G61" s="23">
        <f>D61/D13/2000</f>
        <v>5.3430107526881723E-2</v>
      </c>
      <c r="H61" s="15"/>
      <c r="I61" s="15"/>
      <c r="J61" s="15"/>
      <c r="K61" s="23"/>
    </row>
    <row r="62" spans="1:11" ht="15.75" customHeight="1" x14ac:dyDescent="0.3">
      <c r="A62" s="7"/>
      <c r="B62" s="7" t="s">
        <v>55</v>
      </c>
      <c r="C62" s="2"/>
      <c r="D62" s="15">
        <f>(D61*$D$9)+D61</f>
        <v>313.04699999999997</v>
      </c>
      <c r="E62" s="15">
        <f>(E61*$D$9)+E61</f>
        <v>78.542258064516119</v>
      </c>
      <c r="F62" s="15">
        <f>(F61*$D$9)+F61</f>
        <v>112.20322580645161</v>
      </c>
      <c r="G62" s="23">
        <f>(G61*$D$9)+G61</f>
        <v>5.6101612903225809E-2</v>
      </c>
      <c r="H62" s="15"/>
      <c r="I62" s="15"/>
      <c r="J62" s="15"/>
      <c r="K62" s="23"/>
    </row>
    <row r="63" spans="1:11" ht="7.5" customHeight="1" x14ac:dyDescent="0.3">
      <c r="A63" s="7"/>
      <c r="C63" s="15"/>
      <c r="D63" s="15"/>
      <c r="E63" s="15"/>
      <c r="F63" s="23"/>
      <c r="G63" s="2"/>
      <c r="H63" s="15"/>
      <c r="I63" s="15"/>
      <c r="J63" s="15"/>
      <c r="K63" s="23"/>
    </row>
    <row r="64" spans="1:11" ht="15.75" customHeight="1" x14ac:dyDescent="0.3">
      <c r="A64" s="62" t="str">
        <f>"High Moisture Hay @ "&amp;I12*100&amp;"%"</f>
        <v>High Moisture Hay @ 50%</v>
      </c>
      <c r="C64" s="15"/>
      <c r="D64" s="14" t="s">
        <v>0</v>
      </c>
      <c r="E64" s="63" t="s">
        <v>44</v>
      </c>
      <c r="F64" s="63" t="s">
        <v>13</v>
      </c>
      <c r="G64" s="63" t="s">
        <v>14</v>
      </c>
      <c r="H64" s="15"/>
      <c r="I64" s="15"/>
      <c r="J64" s="15"/>
      <c r="K64" s="23"/>
    </row>
    <row r="65" spans="1:16" ht="15.75" customHeight="1" x14ac:dyDescent="0.3">
      <c r="A65" s="7"/>
      <c r="B65" s="28" t="s">
        <v>45</v>
      </c>
      <c r="C65" s="15"/>
      <c r="D65" s="15">
        <f>+D58+D54</f>
        <v>298.14</v>
      </c>
      <c r="E65" s="15">
        <f>D65/(I13*2000/I15)</f>
        <v>54.984836065573766</v>
      </c>
      <c r="F65" s="15">
        <f>D65/I13</f>
        <v>61.094262295081968</v>
      </c>
      <c r="G65" s="23">
        <f>F65/2000</f>
        <v>3.0547131147540985E-2</v>
      </c>
      <c r="H65" s="15"/>
      <c r="I65" s="15"/>
      <c r="J65" s="15"/>
      <c r="K65" s="23"/>
    </row>
    <row r="66" spans="1:16" ht="15.75" customHeight="1" x14ac:dyDescent="0.3">
      <c r="A66" s="7"/>
      <c r="B66" s="7" t="s">
        <v>55</v>
      </c>
      <c r="C66" s="15"/>
      <c r="D66" s="15">
        <f>(D65*$D$9)+D65</f>
        <v>313.04699999999997</v>
      </c>
      <c r="E66" s="15">
        <f>(E65*$D$9)+E65</f>
        <v>57.734077868852452</v>
      </c>
      <c r="F66" s="15">
        <f>(F65*$D$9)+F65</f>
        <v>64.148975409836069</v>
      </c>
      <c r="G66" s="23">
        <f>(G65*$D$9)+G65</f>
        <v>3.2074487704918032E-2</v>
      </c>
      <c r="H66" s="15"/>
      <c r="I66" s="15"/>
      <c r="J66" s="15"/>
      <c r="K66" s="23"/>
    </row>
    <row r="67" spans="1:16" ht="7.5" customHeight="1" x14ac:dyDescent="0.3">
      <c r="A67" s="7"/>
      <c r="B67" s="61"/>
      <c r="C67" s="2"/>
      <c r="D67" s="2"/>
      <c r="E67" s="19"/>
      <c r="F67" s="24"/>
      <c r="G67" s="2"/>
      <c r="H67" s="15"/>
      <c r="I67" s="15"/>
      <c r="J67" s="15"/>
      <c r="K67" s="7"/>
      <c r="L67" s="7"/>
    </row>
    <row r="68" spans="1:16" s="5" customFormat="1" ht="15" customHeight="1" thickBot="1" x14ac:dyDescent="0.35">
      <c r="A68" s="48" t="str">
        <f>"1.  Value of standing Hay includes a "&amp;D9*100&amp;"% margin over costs"</f>
        <v>1.  Value of standing Hay includes a 5% margin over costs</v>
      </c>
      <c r="B68" s="48"/>
      <c r="C68" s="48"/>
      <c r="D68" s="48"/>
      <c r="E68" s="48"/>
      <c r="F68" s="48"/>
      <c r="G68" s="48"/>
      <c r="H68" s="48"/>
      <c r="I68" s="48"/>
      <c r="J68" s="48"/>
      <c r="K68" s="2"/>
      <c r="L68" s="2"/>
    </row>
    <row r="69" spans="1:16" s="5" customFormat="1" ht="15.75" customHeight="1" x14ac:dyDescent="0.3">
      <c r="A69" s="79" t="s">
        <v>34</v>
      </c>
      <c r="B69" s="79"/>
      <c r="C69" s="79"/>
      <c r="D69" s="79"/>
      <c r="E69" s="79"/>
      <c r="F69" s="79"/>
      <c r="G69" s="79"/>
      <c r="H69" s="79"/>
      <c r="I69" s="79"/>
      <c r="J69" s="79"/>
      <c r="K69" s="2"/>
      <c r="L69" s="2"/>
    </row>
    <row r="70" spans="1:16" ht="15.75" customHeight="1" x14ac:dyDescent="0.3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41"/>
      <c r="L70" s="41"/>
    </row>
    <row r="71" spans="1:16" ht="15" customHeight="1" x14ac:dyDescent="0.3">
      <c r="A71" s="66"/>
      <c r="B71" s="67"/>
      <c r="C71" s="67"/>
      <c r="D71" s="50"/>
      <c r="E71" s="50"/>
      <c r="F71" s="50"/>
      <c r="G71" s="50"/>
      <c r="H71" s="68"/>
      <c r="I71" s="68"/>
      <c r="J71" s="53" t="s">
        <v>58</v>
      </c>
      <c r="K71" s="54"/>
      <c r="L71" s="54"/>
      <c r="M71" s="56"/>
      <c r="N71" s="56"/>
      <c r="O71" s="56"/>
    </row>
    <row r="72" spans="1:16" customFormat="1" ht="17.25" customHeight="1" x14ac:dyDescent="0.3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N72" s="51"/>
      <c r="O72" s="52"/>
      <c r="P72" s="52"/>
    </row>
    <row r="73" spans="1:16" customFormat="1" ht="21" customHeight="1" x14ac:dyDescent="0.3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N73" s="51"/>
      <c r="O73" s="52"/>
      <c r="P73" s="52"/>
    </row>
    <row r="74" spans="1:16" s="30" customFormat="1" x14ac:dyDescent="0.3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</row>
    <row r="75" spans="1:16" s="30" customFormat="1" x14ac:dyDescent="0.3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</row>
    <row r="76" spans="1:16" ht="8.25" customHeight="1" x14ac:dyDescent="0.3"/>
    <row r="77" spans="1:16" ht="15.75" customHeight="1" x14ac:dyDescent="0.3"/>
    <row r="78" spans="1:16" ht="15" customHeight="1" x14ac:dyDescent="0.3"/>
  </sheetData>
  <sheetProtection algorithmName="SHA-512" hashValue="I01h4a4LI19zt+q/p2atVCTnl75RScsuyIgiKEVci3V8rMHFAvgcG1ArGS+P7u2DXTeFS+JL9m3LcAMYRsCTMw==" saltValue="KRChOsEij6bS6yYqS3N11w==" spinCount="100000" sheet="1" objects="1" scenarios="1"/>
  <mergeCells count="1">
    <mergeCell ref="A69:J70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scale="66" firstPageNumber="2" pageOrder="overThenDown" orientation="portrait" useFirstPageNumber="1" r:id="rId1"/>
  <headerFooter scaleWithDoc="0" alignWithMargins="0"/>
  <rowBreaks count="1" manualBreakCount="1">
    <brk id="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A5611-9C37-40CB-AFA1-E471B8C7094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EF6F89-8CB8-48DB-AECA-183334014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C71161-D31B-473E-A2E3-E1DF5EB765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standing hay calc</vt:lpstr>
      <vt:lpstr>'standing hay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Standing Hay Cost Calculator</dc:title>
  <dc:creator>Caron, Dan  (MAFRI)</dc:creator>
  <cp:lastModifiedBy>Mashinini, Khosi (ARD)</cp:lastModifiedBy>
  <cp:lastPrinted>2023-04-26T16:41:58Z</cp:lastPrinted>
  <dcterms:created xsi:type="dcterms:W3CDTF">1998-11-19T15:06:11Z</dcterms:created>
  <dcterms:modified xsi:type="dcterms:W3CDTF">2024-10-10T20:15:31Z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46</vt:lpwstr>
  </property>
  <property fmtid="{D5CDD505-2E9C-101B-9397-08002B2CF9AE}" pid="3" name="ContentType">
    <vt:lpwstr>Document</vt:lpwstr>
  </property>
  <property fmtid="{D5CDD505-2E9C-101B-9397-08002B2CF9AE}" pid="4" name="Category">
    <vt:lpwstr>Programs</vt:lpwstr>
  </property>
  <property fmtid="{D5CDD505-2E9C-101B-9397-08002B2CF9AE}" pid="5" name="ContentTypeId">
    <vt:lpwstr>0x01010007C3257931C4EB4CBE667AF33D71167E</vt:lpwstr>
  </property>
</Properties>
</file>