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charts/chart1.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chart2.xml" ContentType="application/vnd.openxmlformats-officedocument.drawingml.chart+xml"/>
  <Override PartName="/xl/drawings/drawing1.xml" ContentType="application/vnd.openxmlformats-officedocument.drawing+xml"/>
  <Override PartName="/docProps/custom.xml" ContentType="application/vnd.openxmlformats-officedocument.custom-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P:\D03\Farm Management\Production Economics\COP decision support tools\2 - Forage and Livestock Calculators\final version\"/>
    </mc:Choice>
  </mc:AlternateContent>
  <workbookProtection workbookPassword="C6A6" lockStructure="1"/>
  <bookViews>
    <workbookView xWindow="-15" yWindow="-15" windowWidth="9615" windowHeight="7335" tabRatio="845"/>
  </bookViews>
  <sheets>
    <sheet name="Forage Insurance" sheetId="42" r:id="rId1"/>
    <sheet name="DATA (HIDE)" sheetId="40" state="hidden" r:id="rId2"/>
    <sheet name="Summary (HIDE)" sheetId="6" state="hidden" r:id="rId3"/>
    <sheet name="Calculator (HIDE)" sheetId="35" state="hidden" r:id="rId4"/>
  </sheets>
  <externalReferences>
    <externalReference r:id="rId5"/>
  </externalReferences>
  <definedNames>
    <definedName name="\A">#REF!</definedName>
    <definedName name="\B">#REF!</definedName>
    <definedName name="\C">#REF!</definedName>
    <definedName name="\D">#REF!</definedName>
    <definedName name="\E">#REF!</definedName>
    <definedName name="\F">#REF!</definedName>
    <definedName name="\H">#REF!</definedName>
    <definedName name="\I">#REF!</definedName>
    <definedName name="\K">#N/A</definedName>
    <definedName name="\L">#REF!</definedName>
    <definedName name="\N">#REF!</definedName>
    <definedName name="\O">#REF!</definedName>
    <definedName name="\P">#N/A</definedName>
    <definedName name="\R">#REF!</definedName>
    <definedName name="\S">#REF!</definedName>
    <definedName name="\T">#REF!</definedName>
    <definedName name="\U">#REF!</definedName>
    <definedName name="\W">#REF!</definedName>
    <definedName name="\X">#N/A</definedName>
    <definedName name="\Y">#REF!</definedName>
    <definedName name="ALL">#N/A</definedName>
    <definedName name="Animal">'[1]Pasture Ins Calc (HIDE)'!$C$196:$C$205</definedName>
    <definedName name="Basic_Hay">#REF!</definedName>
    <definedName name="Percent_70">#REF!</definedName>
    <definedName name="Percent_80">#REF!</definedName>
    <definedName name="_xlnm.Print_Area" localSheetId="0">'Forage Insurance'!$A$1:$J$169</definedName>
    <definedName name="_xlnm.Print_Area" localSheetId="2">'Summary (HIDE)'!$A$1:$N$81</definedName>
    <definedName name="Select_Hay">#REF!</definedName>
  </definedNames>
  <calcPr calcId="162913"/>
</workbook>
</file>

<file path=xl/calcChain.xml><?xml version="1.0" encoding="utf-8"?>
<calcChain xmlns="http://schemas.openxmlformats.org/spreadsheetml/2006/main">
  <c r="U11" i="40" l="1"/>
  <c r="T11" i="40"/>
  <c r="S11" i="40"/>
  <c r="R11" i="40"/>
  <c r="Q11" i="40"/>
  <c r="U10" i="40"/>
  <c r="T10" i="40"/>
  <c r="S10" i="40"/>
  <c r="R10" i="40"/>
  <c r="Q10" i="40"/>
  <c r="U9" i="40"/>
  <c r="T9" i="40"/>
  <c r="S9" i="40"/>
  <c r="R9" i="40"/>
  <c r="Q9" i="40"/>
  <c r="U7" i="40"/>
  <c r="T7" i="40"/>
  <c r="S7" i="40"/>
  <c r="R7" i="40"/>
  <c r="Q7" i="40"/>
  <c r="U5" i="40"/>
  <c r="T5" i="40"/>
  <c r="S5" i="40"/>
  <c r="R5" i="40"/>
  <c r="Q5" i="40"/>
  <c r="U4" i="40"/>
  <c r="T4" i="40"/>
  <c r="S4" i="40"/>
  <c r="R4" i="40"/>
  <c r="Q4" i="40"/>
  <c r="AB11" i="40"/>
  <c r="AA11" i="40"/>
  <c r="Z11" i="40"/>
  <c r="Y11" i="40"/>
  <c r="X11" i="40"/>
  <c r="AB10" i="40"/>
  <c r="AA10" i="40"/>
  <c r="Z10" i="40"/>
  <c r="Y10" i="40"/>
  <c r="X10" i="40"/>
  <c r="AB9" i="40"/>
  <c r="AA9" i="40"/>
  <c r="Z9" i="40"/>
  <c r="Y9" i="40"/>
  <c r="X9" i="40"/>
  <c r="AB7" i="40"/>
  <c r="AA7" i="40"/>
  <c r="Z7" i="40"/>
  <c r="Y7" i="40"/>
  <c r="X7" i="40"/>
  <c r="AB5" i="40"/>
  <c r="AA5" i="40"/>
  <c r="Z5" i="40"/>
  <c r="Y5" i="40"/>
  <c r="X5" i="40"/>
  <c r="AB4" i="40"/>
  <c r="AA4" i="40"/>
  <c r="Z4" i="40"/>
  <c r="Y4" i="40"/>
  <c r="X4" i="40"/>
  <c r="W11" i="40"/>
  <c r="W10" i="40"/>
  <c r="W9" i="40"/>
  <c r="W7" i="40"/>
  <c r="W5" i="40"/>
  <c r="W4" i="40"/>
  <c r="P11" i="40"/>
  <c r="P10" i="40"/>
  <c r="P7" i="40"/>
  <c r="P4" i="40"/>
  <c r="P5" i="40"/>
  <c r="P9" i="40"/>
  <c r="G94" i="40" l="1"/>
  <c r="D16" i="42" s="1"/>
  <c r="F94" i="40"/>
  <c r="E94" i="40"/>
  <c r="D94" i="40"/>
  <c r="C94" i="40"/>
  <c r="B94" i="40"/>
  <c r="G77" i="40"/>
  <c r="F77" i="40"/>
  <c r="E77" i="40"/>
  <c r="D77" i="40"/>
  <c r="C77" i="40"/>
  <c r="B77" i="40"/>
  <c r="E16" i="42"/>
  <c r="E18" i="42" l="1"/>
  <c r="B78" i="40" s="1"/>
  <c r="D18" i="42"/>
  <c r="B95" i="40" s="1"/>
  <c r="B60" i="40"/>
  <c r="C60" i="40"/>
  <c r="D60" i="40"/>
  <c r="E60" i="40"/>
  <c r="F60" i="40"/>
  <c r="G60" i="40"/>
  <c r="F16" i="42" s="1"/>
  <c r="F18" i="42" s="1"/>
  <c r="B15" i="42"/>
  <c r="G43" i="40"/>
  <c r="F43" i="40"/>
  <c r="E43" i="40"/>
  <c r="D43" i="40"/>
  <c r="C43" i="40"/>
  <c r="B43" i="40"/>
  <c r="C78" i="40" l="1"/>
  <c r="D78" i="40"/>
  <c r="G78" i="40"/>
  <c r="E41" i="42" s="1"/>
  <c r="E78" i="40"/>
  <c r="F78" i="40"/>
  <c r="D95" i="40"/>
  <c r="E95" i="40"/>
  <c r="F95" i="40"/>
  <c r="C95" i="40"/>
  <c r="G95" i="40"/>
  <c r="D41" i="42" s="1"/>
  <c r="F61" i="40"/>
  <c r="G61" i="40"/>
  <c r="D61" i="40"/>
  <c r="E61" i="40"/>
  <c r="B61" i="40"/>
  <c r="C61" i="40"/>
  <c r="H58" i="42"/>
  <c r="G58" i="42"/>
  <c r="F58" i="42"/>
  <c r="E58" i="42"/>
  <c r="D58" i="42"/>
  <c r="C58" i="42"/>
  <c r="G148" i="42" l="1"/>
  <c r="F148" i="42"/>
  <c r="E148" i="42"/>
  <c r="D148" i="42"/>
  <c r="C148" i="42"/>
  <c r="J3" i="42" l="1"/>
  <c r="F144" i="40" l="1"/>
  <c r="F145" i="40"/>
  <c r="F152" i="40"/>
  <c r="F151" i="40"/>
  <c r="F150" i="40"/>
  <c r="F149" i="40"/>
  <c r="F148" i="40"/>
  <c r="H59" i="42"/>
  <c r="G59" i="42"/>
  <c r="F59" i="42"/>
  <c r="E59" i="42"/>
  <c r="D59" i="42"/>
  <c r="C59" i="42"/>
  <c r="F130" i="42"/>
  <c r="C146" i="42"/>
  <c r="D146" i="42"/>
  <c r="G146" i="42" s="1"/>
  <c r="C145" i="42"/>
  <c r="D128" i="42"/>
  <c r="I13" i="42"/>
  <c r="G11" i="42"/>
  <c r="F11" i="42"/>
  <c r="E11" i="42"/>
  <c r="F143" i="40"/>
  <c r="C146" i="40"/>
  <c r="F146" i="40"/>
  <c r="F147" i="40"/>
  <c r="G16" i="42" l="1"/>
  <c r="G18" i="42" s="1"/>
  <c r="D138" i="42"/>
  <c r="I137" i="42"/>
  <c r="I132" i="42"/>
  <c r="I138" i="42"/>
  <c r="I136" i="42"/>
  <c r="I134" i="42"/>
  <c r="I133" i="42"/>
  <c r="I131" i="42"/>
  <c r="I135" i="42"/>
  <c r="I130" i="42"/>
  <c r="J130" i="42" s="1"/>
  <c r="G130" i="42"/>
  <c r="F131" i="42" s="1"/>
  <c r="G131" i="42" s="1"/>
  <c r="F132" i="42" s="1"/>
  <c r="G132" i="42" s="1"/>
  <c r="F133" i="42" s="1"/>
  <c r="E146" i="42"/>
  <c r="F146" i="42"/>
  <c r="D131" i="42"/>
  <c r="D132" i="42"/>
  <c r="D133" i="42"/>
  <c r="D130" i="42"/>
  <c r="H130" i="42" s="1"/>
  <c r="D134" i="42"/>
  <c r="D135" i="42"/>
  <c r="D136" i="42"/>
  <c r="D137" i="42"/>
  <c r="F41" i="42" l="1"/>
  <c r="F44" i="40"/>
  <c r="B44" i="40"/>
  <c r="D44" i="40"/>
  <c r="C44" i="40"/>
  <c r="E44" i="40"/>
  <c r="J133" i="42"/>
  <c r="J131" i="42"/>
  <c r="H131" i="42"/>
  <c r="J132" i="42"/>
  <c r="H132" i="42"/>
  <c r="G133" i="42" l="1"/>
  <c r="F134" i="42" s="1"/>
  <c r="J134" i="42" s="1"/>
  <c r="H133" i="42" l="1"/>
  <c r="G134" i="42" l="1"/>
  <c r="F135" i="42" s="1"/>
  <c r="J135" i="42" s="1"/>
  <c r="H134" i="42" l="1"/>
  <c r="G135" i="42"/>
  <c r="F136" i="42" s="1"/>
  <c r="J136" i="42" s="1"/>
  <c r="H135" i="42" l="1"/>
  <c r="G136" i="42" l="1"/>
  <c r="F137" i="42" s="1"/>
  <c r="J137" i="42" s="1"/>
  <c r="G137" i="42" l="1"/>
  <c r="F138" i="42" s="1"/>
  <c r="J138" i="42" s="1"/>
  <c r="J139" i="42" s="1"/>
  <c r="C34" i="42" s="1"/>
  <c r="H136" i="42"/>
  <c r="H137" i="42" l="1"/>
  <c r="G138" i="42" l="1"/>
  <c r="H138" i="42" l="1"/>
  <c r="H139" i="42" s="1"/>
  <c r="J141" i="42" l="1"/>
  <c r="D34" i="42"/>
  <c r="G149" i="42"/>
  <c r="F149" i="42"/>
  <c r="E149" i="42"/>
  <c r="D149" i="42"/>
  <c r="C149" i="42"/>
  <c r="H149" i="42" l="1"/>
  <c r="B42" i="42"/>
  <c r="D146" i="40" s="1"/>
  <c r="H60" i="42" l="1"/>
  <c r="G60" i="42"/>
  <c r="F60" i="42"/>
  <c r="E60" i="42"/>
  <c r="D60" i="42"/>
  <c r="C60" i="42"/>
  <c r="B52" i="42"/>
  <c r="B60" i="42"/>
  <c r="B43" i="42"/>
  <c r="H50" i="42" l="1"/>
  <c r="B51" i="42" l="1"/>
  <c r="E146" i="40" s="1"/>
  <c r="D5" i="40"/>
  <c r="D4" i="40"/>
  <c r="H53" i="42" s="1"/>
  <c r="C10" i="42"/>
  <c r="O81" i="40" l="1"/>
  <c r="N81" i="40"/>
  <c r="L81" i="40"/>
  <c r="M81" i="40"/>
  <c r="K81" i="40"/>
  <c r="J81" i="40"/>
  <c r="O47" i="40"/>
  <c r="N47" i="40"/>
  <c r="M47" i="40"/>
  <c r="L47" i="40"/>
  <c r="K47" i="40"/>
  <c r="J47" i="40"/>
  <c r="C11" i="40" l="1"/>
  <c r="B70" i="42" l="1"/>
  <c r="D11" i="40"/>
  <c r="H38" i="40"/>
  <c r="H37" i="40"/>
  <c r="H36" i="40"/>
  <c r="H35" i="40"/>
  <c r="H34" i="40"/>
  <c r="H33" i="40"/>
  <c r="F38" i="40"/>
  <c r="F37" i="40"/>
  <c r="F36" i="40"/>
  <c r="F35" i="40"/>
  <c r="F34" i="40"/>
  <c r="F33" i="40"/>
  <c r="D38" i="40"/>
  <c r="O61" i="40" s="1"/>
  <c r="D37" i="40"/>
  <c r="N61" i="40" s="1"/>
  <c r="D36" i="40"/>
  <c r="M61" i="40" s="1"/>
  <c r="D35" i="40"/>
  <c r="L61" i="40" s="1"/>
  <c r="D34" i="40"/>
  <c r="K61" i="40" s="1"/>
  <c r="D33" i="40"/>
  <c r="J61" i="40" s="1"/>
  <c r="B38" i="40"/>
  <c r="B37" i="40"/>
  <c r="B36" i="40"/>
  <c r="B35" i="40"/>
  <c r="B34" i="40"/>
  <c r="B33" i="40"/>
  <c r="I38" i="40"/>
  <c r="O98" i="40" s="1"/>
  <c r="E38" i="40"/>
  <c r="O64" i="40" s="1"/>
  <c r="I37" i="40"/>
  <c r="N98" i="40" s="1"/>
  <c r="E37" i="40"/>
  <c r="N64" i="40" s="1"/>
  <c r="I36" i="40"/>
  <c r="M98" i="40" s="1"/>
  <c r="E36" i="40"/>
  <c r="M64" i="40" s="1"/>
  <c r="I35" i="40"/>
  <c r="L98" i="40" s="1"/>
  <c r="E35" i="40"/>
  <c r="L64" i="40" s="1"/>
  <c r="I34" i="40"/>
  <c r="K98" i="40" s="1"/>
  <c r="E34" i="40"/>
  <c r="K64" i="40" s="1"/>
  <c r="I33" i="40"/>
  <c r="J98" i="40" s="1"/>
  <c r="E33" i="40"/>
  <c r="J64" i="40" s="1"/>
  <c r="J77" i="40" l="1"/>
  <c r="J78" i="40"/>
  <c r="K94" i="40"/>
  <c r="K95" i="40"/>
  <c r="M77" i="40"/>
  <c r="M78" i="40"/>
  <c r="L94" i="40"/>
  <c r="L95" i="40"/>
  <c r="L77" i="40"/>
  <c r="L78" i="40"/>
  <c r="N77" i="40"/>
  <c r="N78" i="40"/>
  <c r="J94" i="40"/>
  <c r="J95" i="40"/>
  <c r="M94" i="40"/>
  <c r="M95" i="40"/>
  <c r="N94" i="40"/>
  <c r="N95" i="40"/>
  <c r="K77" i="40"/>
  <c r="K78" i="40"/>
  <c r="O77" i="40"/>
  <c r="O78" i="40"/>
  <c r="O94" i="40"/>
  <c r="O95" i="40"/>
  <c r="K60" i="40"/>
  <c r="J60" i="40"/>
  <c r="L60" i="40"/>
  <c r="M60" i="40"/>
  <c r="N60" i="40"/>
  <c r="O60" i="40"/>
  <c r="J43" i="40"/>
  <c r="J44" i="40"/>
  <c r="L43" i="40"/>
  <c r="L44" i="40"/>
  <c r="M43" i="40"/>
  <c r="M44" i="40"/>
  <c r="O43" i="40"/>
  <c r="O44" i="40"/>
  <c r="K43" i="40"/>
  <c r="K44" i="40"/>
  <c r="N43" i="40"/>
  <c r="N44" i="40"/>
  <c r="O38" i="40"/>
  <c r="O37" i="40"/>
  <c r="O36" i="40"/>
  <c r="O35" i="40"/>
  <c r="O34" i="40"/>
  <c r="O33" i="40"/>
  <c r="O27" i="40"/>
  <c r="O26" i="40"/>
  <c r="O25" i="40"/>
  <c r="O24" i="40"/>
  <c r="O23" i="40"/>
  <c r="O22" i="40"/>
  <c r="P23" i="40"/>
  <c r="N23" i="40"/>
  <c r="C112" i="40" s="1"/>
  <c r="L23" i="40"/>
  <c r="P22" i="40"/>
  <c r="N22" i="40"/>
  <c r="B112" i="40" s="1"/>
  <c r="L22" i="40"/>
  <c r="B44" i="6" l="1"/>
  <c r="A75" i="6" l="1"/>
  <c r="A77" i="6"/>
  <c r="P132" i="40"/>
  <c r="M132" i="40"/>
  <c r="L132" i="40"/>
  <c r="F9" i="40"/>
  <c r="Q174" i="42" s="1"/>
  <c r="F10" i="40"/>
  <c r="Q175" i="42" s="1"/>
  <c r="O116" i="40"/>
  <c r="N116" i="40"/>
  <c r="M116" i="40"/>
  <c r="L116" i="40"/>
  <c r="K116" i="40"/>
  <c r="J116" i="40"/>
  <c r="G116" i="40"/>
  <c r="F116" i="40"/>
  <c r="E116" i="40"/>
  <c r="D116" i="40"/>
  <c r="C116" i="40"/>
  <c r="B116" i="40"/>
  <c r="N34" i="40"/>
  <c r="K112" i="40" s="1"/>
  <c r="J29" i="40"/>
  <c r="Q38" i="40"/>
  <c r="M38" i="40"/>
  <c r="Q37" i="40"/>
  <c r="M37" i="40"/>
  <c r="Q36" i="40"/>
  <c r="M36" i="40"/>
  <c r="Q35" i="40"/>
  <c r="M35" i="40"/>
  <c r="Q34" i="40"/>
  <c r="M34" i="40"/>
  <c r="Q33" i="40"/>
  <c r="M33" i="40"/>
  <c r="P34" i="40"/>
  <c r="N33" i="40"/>
  <c r="J112" i="40" s="1"/>
  <c r="Q27" i="40"/>
  <c r="Q26" i="40"/>
  <c r="Q25" i="40"/>
  <c r="Q24" i="40"/>
  <c r="Q23" i="40"/>
  <c r="Q22" i="40"/>
  <c r="M27" i="40"/>
  <c r="M26" i="40"/>
  <c r="M25" i="40"/>
  <c r="M24" i="40"/>
  <c r="M23" i="40"/>
  <c r="M22" i="40"/>
  <c r="L34" i="40"/>
  <c r="L33" i="40"/>
  <c r="J37" i="40"/>
  <c r="J36" i="40"/>
  <c r="J35" i="40"/>
  <c r="J34" i="40"/>
  <c r="J33" i="40"/>
  <c r="J18" i="40"/>
  <c r="O132" i="40"/>
  <c r="H44" i="42" s="1"/>
  <c r="N132" i="40"/>
  <c r="K132" i="40"/>
  <c r="J132" i="40"/>
  <c r="I132" i="40"/>
  <c r="H132" i="40"/>
  <c r="G132" i="40"/>
  <c r="F132" i="40"/>
  <c r="E132" i="40"/>
  <c r="D132" i="40"/>
  <c r="C132" i="40"/>
  <c r="B132" i="40"/>
  <c r="P129" i="40"/>
  <c r="P130" i="40" s="1"/>
  <c r="P131" i="40" s="1"/>
  <c r="I110" i="40"/>
  <c r="A110" i="40"/>
  <c r="G81" i="40"/>
  <c r="E44" i="42" s="1"/>
  <c r="F81" i="40"/>
  <c r="E81" i="40"/>
  <c r="D81" i="40"/>
  <c r="C81" i="40"/>
  <c r="B81" i="40"/>
  <c r="G47" i="40"/>
  <c r="G44" i="42" s="1"/>
  <c r="F47" i="40"/>
  <c r="E47" i="40"/>
  <c r="D47" i="40"/>
  <c r="C47" i="40"/>
  <c r="B47" i="40"/>
  <c r="C10" i="40"/>
  <c r="D10" i="40" s="1"/>
  <c r="C9" i="40"/>
  <c r="D9" i="40" s="1"/>
  <c r="I27" i="40"/>
  <c r="G98" i="40" s="1"/>
  <c r="D44" i="42" s="1"/>
  <c r="I26" i="40"/>
  <c r="F98" i="40" s="1"/>
  <c r="I25" i="40"/>
  <c r="E98" i="40" s="1"/>
  <c r="I24" i="40"/>
  <c r="D98" i="40" s="1"/>
  <c r="I23" i="40"/>
  <c r="C98" i="40" s="1"/>
  <c r="I22" i="40"/>
  <c r="B98" i="40" s="1"/>
  <c r="E27" i="40"/>
  <c r="G64" i="40" s="1"/>
  <c r="F44" i="42" s="1"/>
  <c r="E26" i="40"/>
  <c r="F64" i="40" s="1"/>
  <c r="E25" i="40"/>
  <c r="E64" i="40" s="1"/>
  <c r="E24" i="40"/>
  <c r="D64" i="40" s="1"/>
  <c r="E23" i="40"/>
  <c r="C64" i="40" s="1"/>
  <c r="E22" i="40"/>
  <c r="B64" i="40" s="1"/>
  <c r="C3" i="40"/>
  <c r="C2" i="40"/>
  <c r="M68" i="6"/>
  <c r="K68" i="6"/>
  <c r="K66" i="6"/>
  <c r="M43" i="6"/>
  <c r="M44" i="6" s="1"/>
  <c r="L43" i="6"/>
  <c r="L44" i="6" s="1"/>
  <c r="A1" i="6"/>
  <c r="A70" i="6"/>
  <c r="I68" i="6"/>
  <c r="E68" i="6"/>
  <c r="G68" i="6"/>
  <c r="C68" i="6"/>
  <c r="G66" i="6"/>
  <c r="C66" i="6"/>
  <c r="I15" i="35"/>
  <c r="E7" i="35"/>
  <c r="E11" i="35"/>
  <c r="D7" i="35"/>
  <c r="D11" i="35"/>
  <c r="C7" i="35"/>
  <c r="C11" i="35"/>
  <c r="D32" i="35"/>
  <c r="D15" i="35"/>
  <c r="C32" i="35"/>
  <c r="C15" i="35"/>
  <c r="E15" i="35"/>
  <c r="E32" i="35"/>
  <c r="E38" i="35"/>
  <c r="E39" i="35"/>
  <c r="E34" i="35"/>
  <c r="E35" i="35"/>
  <c r="E47" i="35"/>
  <c r="E40" i="35"/>
  <c r="E36" i="35"/>
  <c r="D19" i="35"/>
  <c r="D20" i="35"/>
  <c r="D16" i="35"/>
  <c r="C19" i="35"/>
  <c r="C20" i="35"/>
  <c r="C49" i="35"/>
  <c r="C16" i="35"/>
  <c r="C40" i="35"/>
  <c r="C36" i="35"/>
  <c r="C47" i="35"/>
  <c r="C37" i="35"/>
  <c r="C38" i="35"/>
  <c r="C39" i="35"/>
  <c r="C34" i="35"/>
  <c r="C35" i="35"/>
  <c r="E16" i="35"/>
  <c r="E19" i="35"/>
  <c r="E20" i="35"/>
  <c r="E46" i="35"/>
  <c r="E48" i="35"/>
  <c r="D47" i="35"/>
  <c r="D37" i="35"/>
  <c r="D38" i="35"/>
  <c r="D39" i="35"/>
  <c r="D34" i="35"/>
  <c r="D35" i="35"/>
  <c r="D46" i="35"/>
  <c r="D48" i="35"/>
  <c r="D36" i="35"/>
  <c r="D49" i="35"/>
  <c r="D45" i="35"/>
  <c r="E49" i="35"/>
  <c r="D22" i="35"/>
  <c r="D51" i="35"/>
  <c r="D21" i="35"/>
  <c r="D50" i="35"/>
  <c r="E21" i="35"/>
  <c r="E50" i="35"/>
  <c r="E22" i="35"/>
  <c r="E51" i="35"/>
  <c r="C22" i="35"/>
  <c r="C51" i="35"/>
  <c r="C21" i="35"/>
  <c r="C50" i="35"/>
  <c r="E17" i="35"/>
  <c r="E41" i="35"/>
  <c r="E18" i="35"/>
  <c r="E42" i="35"/>
  <c r="C45" i="35"/>
  <c r="C46" i="35"/>
  <c r="C48" i="35"/>
  <c r="D18" i="35"/>
  <c r="D42" i="35"/>
  <c r="D17" i="35"/>
  <c r="D41" i="35"/>
  <c r="D40" i="35"/>
  <c r="C18" i="35"/>
  <c r="C42" i="35"/>
  <c r="C17" i="35"/>
  <c r="C41" i="35"/>
  <c r="E37" i="35"/>
  <c r="E45" i="35"/>
  <c r="C4" i="6"/>
  <c r="H4" i="6"/>
  <c r="H43" i="6"/>
  <c r="D43" i="6"/>
  <c r="E43" i="6"/>
  <c r="E44" i="6" s="1"/>
  <c r="I43" i="6"/>
  <c r="I44" i="6" s="1"/>
  <c r="F45" i="40"/>
  <c r="B62" i="40"/>
  <c r="F62" i="40"/>
  <c r="B45" i="40"/>
  <c r="C79" i="40"/>
  <c r="C45" i="40"/>
  <c r="C62" i="40"/>
  <c r="D79" i="40"/>
  <c r="D96" i="40"/>
  <c r="D45" i="40"/>
  <c r="D62" i="40"/>
  <c r="E79" i="40"/>
  <c r="E80" i="40" s="1"/>
  <c r="E82" i="40" s="1"/>
  <c r="B96" i="40"/>
  <c r="E96" i="40"/>
  <c r="E97" i="40" s="1"/>
  <c r="E45" i="40"/>
  <c r="E62" i="40"/>
  <c r="B79" i="40"/>
  <c r="F79" i="40"/>
  <c r="C96" i="40"/>
  <c r="F96" i="40"/>
  <c r="P33" i="40"/>
  <c r="C97" i="40" l="1"/>
  <c r="C99" i="40" s="1"/>
  <c r="D50" i="42"/>
  <c r="D3" i="40"/>
  <c r="E50" i="42"/>
  <c r="A152" i="40"/>
  <c r="H45" i="42"/>
  <c r="D2" i="40"/>
  <c r="F50" i="42"/>
  <c r="G50" i="42"/>
  <c r="C44" i="42"/>
  <c r="C50" i="42"/>
  <c r="C53" i="42"/>
  <c r="L45" i="6"/>
  <c r="M42" i="6" s="1"/>
  <c r="D44" i="6"/>
  <c r="G79" i="40"/>
  <c r="H45" i="6"/>
  <c r="I42" i="6" s="1"/>
  <c r="H44" i="6"/>
  <c r="D45" i="6"/>
  <c r="E42" i="6" s="1"/>
  <c r="K45" i="40"/>
  <c r="K46" i="40" s="1"/>
  <c r="K48" i="40" s="1"/>
  <c r="J79" i="40"/>
  <c r="J80" i="40" s="1"/>
  <c r="J82" i="40" s="1"/>
  <c r="J45" i="40"/>
  <c r="J46" i="40" s="1"/>
  <c r="J48" i="40" s="1"/>
  <c r="N62" i="40"/>
  <c r="N63" i="40" s="1"/>
  <c r="N65" i="40" s="1"/>
  <c r="J96" i="40"/>
  <c r="J97" i="40" s="1"/>
  <c r="J99" i="40" s="1"/>
  <c r="N96" i="40"/>
  <c r="N97" i="40" s="1"/>
  <c r="N99" i="40" s="1"/>
  <c r="L45" i="40"/>
  <c r="L46" i="40" s="1"/>
  <c r="L48" i="40" s="1"/>
  <c r="M96" i="40"/>
  <c r="M97" i="40" s="1"/>
  <c r="M99" i="40" s="1"/>
  <c r="M62" i="40"/>
  <c r="M63" i="40" s="1"/>
  <c r="M65" i="40" s="1"/>
  <c r="L96" i="40"/>
  <c r="L97" i="40" s="1"/>
  <c r="L99" i="40" s="1"/>
  <c r="L62" i="40"/>
  <c r="L63" i="40" s="1"/>
  <c r="L65" i="40" s="1"/>
  <c r="K96" i="40"/>
  <c r="K97" i="40" s="1"/>
  <c r="K99" i="40" s="1"/>
  <c r="K62" i="40"/>
  <c r="K63" i="40" s="1"/>
  <c r="K65" i="40" s="1"/>
  <c r="E61" i="42"/>
  <c r="E21" i="42" s="1"/>
  <c r="N79" i="40"/>
  <c r="N80" i="40" s="1"/>
  <c r="N82" i="40" s="1"/>
  <c r="M45" i="40"/>
  <c r="M46" i="40" s="1"/>
  <c r="M48" i="40" s="1"/>
  <c r="J62" i="40"/>
  <c r="J63" i="40" s="1"/>
  <c r="J65" i="40" s="1"/>
  <c r="M79" i="40"/>
  <c r="M80" i="40" s="1"/>
  <c r="M82" i="40" s="1"/>
  <c r="N45" i="40"/>
  <c r="N46" i="40" s="1"/>
  <c r="N48" i="40" s="1"/>
  <c r="G62" i="40"/>
  <c r="F49" i="42" s="1"/>
  <c r="G96" i="40"/>
  <c r="D49" i="42" s="1"/>
  <c r="D63" i="40"/>
  <c r="D65" i="40" s="1"/>
  <c r="F46" i="40"/>
  <c r="F48" i="40" s="1"/>
  <c r="N129" i="40"/>
  <c r="K129" i="40"/>
  <c r="K130" i="40" s="1"/>
  <c r="K131" i="40" s="1"/>
  <c r="K133" i="40" s="1"/>
  <c r="F129" i="40"/>
  <c r="F130" i="40" s="1"/>
  <c r="F131" i="40" s="1"/>
  <c r="F133" i="40" s="1"/>
  <c r="O129" i="40"/>
  <c r="D129" i="40"/>
  <c r="D130" i="40" s="1"/>
  <c r="D131" i="40" s="1"/>
  <c r="D133" i="40" s="1"/>
  <c r="I129" i="40"/>
  <c r="I130" i="40" s="1"/>
  <c r="I131" i="40" s="1"/>
  <c r="I133" i="40" s="1"/>
  <c r="H129" i="40"/>
  <c r="H130" i="40" s="1"/>
  <c r="H131" i="40" s="1"/>
  <c r="H133" i="40" s="1"/>
  <c r="L129" i="40"/>
  <c r="L130" i="40" s="1"/>
  <c r="L131" i="40" s="1"/>
  <c r="L133" i="40" s="1"/>
  <c r="J129" i="40"/>
  <c r="J130" i="40" s="1"/>
  <c r="J131" i="40" s="1"/>
  <c r="J133" i="40" s="1"/>
  <c r="B129" i="40"/>
  <c r="B130" i="40" s="1"/>
  <c r="B131" i="40" s="1"/>
  <c r="B133" i="40" s="1"/>
  <c r="G129" i="40"/>
  <c r="G130" i="40" s="1"/>
  <c r="G131" i="40" s="1"/>
  <c r="G133" i="40" s="1"/>
  <c r="M129" i="40"/>
  <c r="M130" i="40" s="1"/>
  <c r="M131" i="40" s="1"/>
  <c r="M133" i="40" s="1"/>
  <c r="C129" i="40"/>
  <c r="C130" i="40" s="1"/>
  <c r="C131" i="40" s="1"/>
  <c r="C133" i="40" s="1"/>
  <c r="E129" i="40"/>
  <c r="E130" i="40" s="1"/>
  <c r="E131" i="40" s="1"/>
  <c r="E133" i="40" s="1"/>
  <c r="P133" i="40"/>
  <c r="P27" i="40"/>
  <c r="L27" i="40"/>
  <c r="N27" i="40"/>
  <c r="G112" i="40" s="1"/>
  <c r="J38" i="40"/>
  <c r="F63" i="40"/>
  <c r="F65" i="40" s="1"/>
  <c r="N26" i="40"/>
  <c r="F112" i="40" s="1"/>
  <c r="P26" i="40"/>
  <c r="L26" i="40"/>
  <c r="E99" i="40"/>
  <c r="N25" i="40"/>
  <c r="E112" i="40" s="1"/>
  <c r="P25" i="40"/>
  <c r="L25" i="40"/>
  <c r="F97" i="40"/>
  <c r="F99" i="40" s="1"/>
  <c r="B80" i="40"/>
  <c r="B82" i="40" s="1"/>
  <c r="D97" i="40"/>
  <c r="D99" i="40" s="1"/>
  <c r="F80" i="40"/>
  <c r="F82" i="40" s="1"/>
  <c r="B97" i="40"/>
  <c r="B99" i="40" s="1"/>
  <c r="D80" i="40"/>
  <c r="D82" i="40" s="1"/>
  <c r="C80" i="40"/>
  <c r="C82" i="40" s="1"/>
  <c r="E46" i="40"/>
  <c r="E48" i="40" s="1"/>
  <c r="D46" i="40"/>
  <c r="D48" i="40" s="1"/>
  <c r="C63" i="40"/>
  <c r="C65" i="40" s="1"/>
  <c r="C46" i="40"/>
  <c r="C48" i="40" s="1"/>
  <c r="B63" i="40"/>
  <c r="B65" i="40" s="1"/>
  <c r="E63" i="40"/>
  <c r="E65" i="40" s="1"/>
  <c r="B46" i="40"/>
  <c r="B48" i="40" s="1"/>
  <c r="N24" i="40"/>
  <c r="D112" i="40" s="1"/>
  <c r="L24" i="40"/>
  <c r="P24" i="40"/>
  <c r="G53" i="42" l="1"/>
  <c r="F53" i="42"/>
  <c r="D53" i="42"/>
  <c r="E53" i="42"/>
  <c r="G80" i="40"/>
  <c r="E54" i="42" s="1"/>
  <c r="E49" i="42"/>
  <c r="A149" i="40"/>
  <c r="E45" i="42"/>
  <c r="F61" i="42"/>
  <c r="F21" i="42" s="1"/>
  <c r="F42" i="42"/>
  <c r="D150" i="40" s="1"/>
  <c r="D61" i="42"/>
  <c r="D21" i="42" s="1"/>
  <c r="D42" i="42"/>
  <c r="D148" i="40" s="1"/>
  <c r="L79" i="40"/>
  <c r="L80" i="40" s="1"/>
  <c r="L82" i="40" s="1"/>
  <c r="O62" i="40"/>
  <c r="F63" i="42" s="1"/>
  <c r="F64" i="42" s="1"/>
  <c r="O45" i="40"/>
  <c r="O96" i="40"/>
  <c r="D63" i="42" s="1"/>
  <c r="O79" i="40"/>
  <c r="E42" i="42"/>
  <c r="D149" i="40" s="1"/>
  <c r="O130" i="40"/>
  <c r="H49" i="42" s="1"/>
  <c r="H41" i="42"/>
  <c r="H61" i="42" s="1"/>
  <c r="H21" i="42" s="1"/>
  <c r="K79" i="40"/>
  <c r="K80" i="40" s="1"/>
  <c r="K82" i="40" s="1"/>
  <c r="G63" i="40"/>
  <c r="F54" i="42" s="1"/>
  <c r="G97" i="40"/>
  <c r="D54" i="42" s="1"/>
  <c r="N130" i="40"/>
  <c r="N38" i="40"/>
  <c r="O112" i="40" s="1"/>
  <c r="C16" i="42" s="1"/>
  <c r="C18" i="42" s="1"/>
  <c r="L38" i="40"/>
  <c r="P38" i="40"/>
  <c r="L37" i="40"/>
  <c r="P37" i="40"/>
  <c r="N37" i="40"/>
  <c r="N112" i="40" s="1"/>
  <c r="L36" i="40"/>
  <c r="P36" i="40"/>
  <c r="N36" i="40"/>
  <c r="M112" i="40" s="1"/>
  <c r="P35" i="40"/>
  <c r="L35" i="40"/>
  <c r="N35" i="40"/>
  <c r="L112" i="40" s="1"/>
  <c r="K30" i="6"/>
  <c r="C30" i="6"/>
  <c r="G30" i="6"/>
  <c r="C113" i="40" l="1"/>
  <c r="C114" i="40" s="1"/>
  <c r="C115" i="40" s="1"/>
  <c r="C117" i="40" s="1"/>
  <c r="F113" i="40"/>
  <c r="F114" i="40" s="1"/>
  <c r="F115" i="40" s="1"/>
  <c r="F117" i="40" s="1"/>
  <c r="G113" i="40"/>
  <c r="G114" i="40" s="1"/>
  <c r="D113" i="40"/>
  <c r="D114" i="40" s="1"/>
  <c r="D115" i="40" s="1"/>
  <c r="D117" i="40" s="1"/>
  <c r="G82" i="40"/>
  <c r="K113" i="40"/>
  <c r="K114" i="40" s="1"/>
  <c r="K115" i="40" s="1"/>
  <c r="K117" i="40" s="1"/>
  <c r="L113" i="40"/>
  <c r="L114" i="40" s="1"/>
  <c r="L115" i="40" s="1"/>
  <c r="L117" i="40" s="1"/>
  <c r="J113" i="40"/>
  <c r="J114" i="40" s="1"/>
  <c r="J115" i="40" s="1"/>
  <c r="J117" i="40" s="1"/>
  <c r="N113" i="40"/>
  <c r="N114" i="40" s="1"/>
  <c r="N115" i="40" s="1"/>
  <c r="N117" i="40" s="1"/>
  <c r="B113" i="40"/>
  <c r="B114" i="40" s="1"/>
  <c r="B115" i="40" s="1"/>
  <c r="B117" i="40" s="1"/>
  <c r="M113" i="40"/>
  <c r="M114" i="40" s="1"/>
  <c r="M115" i="40" s="1"/>
  <c r="M117" i="40" s="1"/>
  <c r="O113" i="40"/>
  <c r="O114" i="40" s="1"/>
  <c r="C49" i="42" s="1"/>
  <c r="E113" i="40"/>
  <c r="E114" i="40" s="1"/>
  <c r="E115" i="40" s="1"/>
  <c r="E117" i="40" s="1"/>
  <c r="A148" i="40"/>
  <c r="D45" i="42"/>
  <c r="F43" i="42"/>
  <c r="G65" i="40"/>
  <c r="F51" i="42"/>
  <c r="E150" i="40" s="1"/>
  <c r="D64" i="42"/>
  <c r="D66" i="42"/>
  <c r="D150" i="42" s="1"/>
  <c r="D151" i="42" s="1"/>
  <c r="D78" i="42"/>
  <c r="D51" i="42"/>
  <c r="D79" i="42" s="1"/>
  <c r="H63" i="42"/>
  <c r="H64" i="42" s="1"/>
  <c r="D43" i="42"/>
  <c r="E78" i="42"/>
  <c r="E63" i="42"/>
  <c r="E64" i="42" s="1"/>
  <c r="E51" i="42"/>
  <c r="G99" i="40"/>
  <c r="O97" i="40"/>
  <c r="O46" i="40"/>
  <c r="H42" i="42"/>
  <c r="D152" i="40" s="1"/>
  <c r="O131" i="40"/>
  <c r="O63" i="40"/>
  <c r="O80" i="40"/>
  <c r="E46" i="42" s="1"/>
  <c r="E43" i="42"/>
  <c r="D70" i="42"/>
  <c r="D71" i="42"/>
  <c r="F71" i="42"/>
  <c r="F70" i="42"/>
  <c r="D65" i="42"/>
  <c r="C148" i="40" s="1"/>
  <c r="F66" i="42"/>
  <c r="F150" i="42" s="1"/>
  <c r="F151" i="42" s="1"/>
  <c r="F65" i="42"/>
  <c r="C150" i="40" s="1"/>
  <c r="N131" i="40"/>
  <c r="N133" i="40" s="1"/>
  <c r="L62" i="6"/>
  <c r="C41" i="42" l="1"/>
  <c r="C61" i="42" s="1"/>
  <c r="C21" i="42" s="1"/>
  <c r="F46" i="42"/>
  <c r="F79" i="42"/>
  <c r="F78" i="42"/>
  <c r="F52" i="42"/>
  <c r="F62" i="42"/>
  <c r="A150" i="40"/>
  <c r="F45" i="42"/>
  <c r="D52" i="42"/>
  <c r="D62" i="42"/>
  <c r="E148" i="40"/>
  <c r="D55" i="42"/>
  <c r="D46" i="42"/>
  <c r="E55" i="42"/>
  <c r="E149" i="40"/>
  <c r="E62" i="42"/>
  <c r="E70" i="42"/>
  <c r="E66" i="42"/>
  <c r="E150" i="42" s="1"/>
  <c r="E151" i="42" s="1"/>
  <c r="E79" i="42"/>
  <c r="E52" i="42"/>
  <c r="E65" i="42"/>
  <c r="C149" i="40" s="1"/>
  <c r="E71" i="42"/>
  <c r="F55" i="42"/>
  <c r="O65" i="40"/>
  <c r="O48" i="40"/>
  <c r="H51" i="42"/>
  <c r="H78" i="42"/>
  <c r="O133" i="40"/>
  <c r="H54" i="42"/>
  <c r="H55" i="42" s="1"/>
  <c r="G115" i="40"/>
  <c r="O99" i="40"/>
  <c r="O82" i="40"/>
  <c r="O115" i="40"/>
  <c r="C54" i="42" s="1"/>
  <c r="H43" i="42"/>
  <c r="F74" i="42"/>
  <c r="B150" i="40" s="1"/>
  <c r="F75" i="42"/>
  <c r="D75" i="42"/>
  <c r="D74" i="42"/>
  <c r="B148" i="40" s="1"/>
  <c r="L61" i="6"/>
  <c r="C42" i="42" l="1"/>
  <c r="D147" i="40" s="1"/>
  <c r="A147" i="40"/>
  <c r="C45" i="42"/>
  <c r="C55" i="42"/>
  <c r="E75" i="42"/>
  <c r="E74" i="42"/>
  <c r="B149" i="40" s="1"/>
  <c r="E152" i="40"/>
  <c r="H62" i="42"/>
  <c r="H46" i="42"/>
  <c r="H79" i="42"/>
  <c r="H52" i="42"/>
  <c r="G117" i="40"/>
  <c r="H66" i="42"/>
  <c r="H75" i="42" s="1"/>
  <c r="H65" i="42"/>
  <c r="C152" i="40" s="1"/>
  <c r="B152" i="40" s="1"/>
  <c r="C51" i="42"/>
  <c r="C63" i="42"/>
  <c r="C64" i="42" s="1"/>
  <c r="C78" i="42"/>
  <c r="O117" i="40"/>
  <c r="C43" i="42" l="1"/>
  <c r="E147" i="40"/>
  <c r="C62" i="42"/>
  <c r="C52" i="42"/>
  <c r="C79" i="42"/>
  <c r="H74" i="42"/>
  <c r="C70" i="42"/>
  <c r="C71" i="42"/>
  <c r="C65" i="42"/>
  <c r="C147" i="40" s="1"/>
  <c r="C66" i="42"/>
  <c r="E135" i="40"/>
  <c r="B135" i="40"/>
  <c r="C46" i="42"/>
  <c r="N139" i="40"/>
  <c r="E139" i="40"/>
  <c r="P139" i="40"/>
  <c r="L54" i="6"/>
  <c r="I135" i="40"/>
  <c r="K139" i="40"/>
  <c r="L139" i="40"/>
  <c r="B139" i="40"/>
  <c r="G139" i="40"/>
  <c r="P135" i="40"/>
  <c r="L58" i="6"/>
  <c r="L135" i="40"/>
  <c r="K51" i="6"/>
  <c r="O135" i="40"/>
  <c r="K135" i="40"/>
  <c r="G135" i="40"/>
  <c r="M58" i="6"/>
  <c r="F135" i="40"/>
  <c r="K49" i="6"/>
  <c r="L49" i="6" s="1"/>
  <c r="I139" i="40"/>
  <c r="D135" i="40"/>
  <c r="F139" i="40"/>
  <c r="N135" i="40"/>
  <c r="H139" i="40"/>
  <c r="K31" i="6"/>
  <c r="K136" i="40" s="1"/>
  <c r="M54" i="6"/>
  <c r="D139" i="40"/>
  <c r="C139" i="40"/>
  <c r="C135" i="40"/>
  <c r="M139" i="40"/>
  <c r="O139" i="40"/>
  <c r="J135" i="40"/>
  <c r="H135" i="40"/>
  <c r="M135" i="40"/>
  <c r="J139" i="40"/>
  <c r="A73" i="6"/>
  <c r="A72" i="6"/>
  <c r="C150" i="42" l="1"/>
  <c r="C151" i="42" s="1"/>
  <c r="C75" i="42"/>
  <c r="C74" i="42"/>
  <c r="B147" i="40" s="1"/>
  <c r="D62" i="6"/>
  <c r="H62" i="6"/>
  <c r="H87" i="42"/>
  <c r="H82" i="42"/>
  <c r="P136" i="40"/>
  <c r="N136" i="40"/>
  <c r="M49" i="6"/>
  <c r="K35" i="6"/>
  <c r="L136" i="40"/>
  <c r="H136" i="40"/>
  <c r="O136" i="40"/>
  <c r="G136" i="40"/>
  <c r="B136" i="40"/>
  <c r="D136" i="40"/>
  <c r="C136" i="40"/>
  <c r="F136" i="40"/>
  <c r="J136" i="40"/>
  <c r="I136" i="40"/>
  <c r="E136" i="40"/>
  <c r="M136" i="40"/>
  <c r="H61" i="6"/>
  <c r="D61" i="6"/>
  <c r="C140" i="40" l="1"/>
  <c r="H83" i="42"/>
  <c r="F137" i="40"/>
  <c r="I140" i="40"/>
  <c r="B137" i="40"/>
  <c r="M70" i="6"/>
  <c r="H137" i="40"/>
  <c r="J137" i="40"/>
  <c r="N137" i="40"/>
  <c r="P137" i="40"/>
  <c r="L59" i="6"/>
  <c r="P140" i="40"/>
  <c r="N140" i="40"/>
  <c r="M55" i="6"/>
  <c r="L55" i="6"/>
  <c r="M137" i="40"/>
  <c r="M59" i="6"/>
  <c r="D137" i="40"/>
  <c r="G137" i="40"/>
  <c r="L63" i="6"/>
  <c r="K137" i="40"/>
  <c r="O137" i="40"/>
  <c r="M140" i="40"/>
  <c r="O140" i="40"/>
  <c r="E137" i="40"/>
  <c r="L140" i="40"/>
  <c r="J140" i="40"/>
  <c r="L137" i="40"/>
  <c r="D140" i="40"/>
  <c r="I137" i="40"/>
  <c r="F140" i="40"/>
  <c r="E140" i="40"/>
  <c r="K140" i="40"/>
  <c r="B140" i="40"/>
  <c r="G140" i="40"/>
  <c r="H140" i="40"/>
  <c r="C137" i="40"/>
  <c r="K50" i="6"/>
  <c r="L50" i="6" s="1"/>
  <c r="K69" i="6"/>
  <c r="H88" i="42" l="1"/>
  <c r="H84" i="42"/>
  <c r="K84" i="40"/>
  <c r="L88" i="40"/>
  <c r="K105" i="40"/>
  <c r="N101" i="40"/>
  <c r="J101" i="40"/>
  <c r="J105" i="40"/>
  <c r="O105" i="40"/>
  <c r="N88" i="40"/>
  <c r="J84" i="40"/>
  <c r="M105" i="40"/>
  <c r="O84" i="40"/>
  <c r="O101" i="40"/>
  <c r="N105" i="40"/>
  <c r="L101" i="40"/>
  <c r="N84" i="40"/>
  <c r="K88" i="40"/>
  <c r="M84" i="40"/>
  <c r="L105" i="40"/>
  <c r="K101" i="40"/>
  <c r="M101" i="40"/>
  <c r="J88" i="40"/>
  <c r="L84" i="40"/>
  <c r="O88" i="40"/>
  <c r="M88" i="40"/>
  <c r="J71" i="40"/>
  <c r="O71" i="40"/>
  <c r="K67" i="40"/>
  <c r="K71" i="40"/>
  <c r="L71" i="40"/>
  <c r="O50" i="40"/>
  <c r="L67" i="40"/>
  <c r="M67" i="40"/>
  <c r="N71" i="40"/>
  <c r="O67" i="40"/>
  <c r="K50" i="40"/>
  <c r="J67" i="40"/>
  <c r="M71" i="40"/>
  <c r="N67" i="40"/>
  <c r="J50" i="40"/>
  <c r="K54" i="40"/>
  <c r="M54" i="40"/>
  <c r="L50" i="40"/>
  <c r="J54" i="40"/>
  <c r="O54" i="40"/>
  <c r="N50" i="40"/>
  <c r="M50" i="40"/>
  <c r="L54" i="40"/>
  <c r="N54" i="40"/>
  <c r="M69" i="6"/>
  <c r="K70" i="6"/>
  <c r="M50" i="6"/>
  <c r="E54" i="6"/>
  <c r="E50" i="40"/>
  <c r="E58" i="6"/>
  <c r="D54" i="40"/>
  <c r="C54" i="40"/>
  <c r="E71" i="40"/>
  <c r="D58" i="6"/>
  <c r="B50" i="40"/>
  <c r="C51" i="6"/>
  <c r="C50" i="40"/>
  <c r="D71" i="40"/>
  <c r="C49" i="6"/>
  <c r="E49" i="6" s="1"/>
  <c r="B54" i="40"/>
  <c r="G71" i="40"/>
  <c r="F87" i="42" s="1"/>
  <c r="B71" i="40"/>
  <c r="F54" i="40"/>
  <c r="E54" i="40"/>
  <c r="C67" i="40"/>
  <c r="F50" i="40"/>
  <c r="B67" i="40"/>
  <c r="C71" i="40"/>
  <c r="C31" i="6"/>
  <c r="G68" i="40" s="1"/>
  <c r="F83" i="42" s="1"/>
  <c r="F67" i="40"/>
  <c r="E67" i="40"/>
  <c r="D54" i="6"/>
  <c r="F71" i="40"/>
  <c r="D50" i="40"/>
  <c r="D67" i="40"/>
  <c r="G67" i="40"/>
  <c r="F82" i="42" s="1"/>
  <c r="C101" i="40"/>
  <c r="C119" i="40"/>
  <c r="G31" i="6"/>
  <c r="I54" i="6"/>
  <c r="B105" i="40"/>
  <c r="B123" i="40"/>
  <c r="G49" i="6"/>
  <c r="H54" i="6"/>
  <c r="E119" i="40"/>
  <c r="G101" i="40"/>
  <c r="D82" i="42" s="1"/>
  <c r="D105" i="40"/>
  <c r="E101" i="40"/>
  <c r="G105" i="40"/>
  <c r="D87" i="42" s="1"/>
  <c r="G51" i="6"/>
  <c r="E123" i="40"/>
  <c r="O119" i="40"/>
  <c r="H58" i="6"/>
  <c r="K123" i="40"/>
  <c r="C123" i="40"/>
  <c r="N119" i="40"/>
  <c r="K119" i="40"/>
  <c r="D84" i="40"/>
  <c r="G123" i="40"/>
  <c r="O123" i="40"/>
  <c r="C87" i="42" s="1"/>
  <c r="J123" i="40"/>
  <c r="M123" i="40"/>
  <c r="F123" i="40"/>
  <c r="B101" i="40"/>
  <c r="F88" i="40"/>
  <c r="D123" i="40"/>
  <c r="C88" i="40"/>
  <c r="F119" i="40"/>
  <c r="E88" i="40"/>
  <c r="C105" i="40"/>
  <c r="G119" i="40"/>
  <c r="D101" i="40"/>
  <c r="M119" i="40"/>
  <c r="F101" i="40"/>
  <c r="L119" i="40"/>
  <c r="C84" i="40"/>
  <c r="E84" i="40"/>
  <c r="G84" i="40"/>
  <c r="E82" i="42" s="1"/>
  <c r="L123" i="40"/>
  <c r="E105" i="40"/>
  <c r="N123" i="40"/>
  <c r="D88" i="40"/>
  <c r="B88" i="40"/>
  <c r="F105" i="40"/>
  <c r="B84" i="40"/>
  <c r="I58" i="6"/>
  <c r="F84" i="40"/>
  <c r="D119" i="40"/>
  <c r="J119" i="40"/>
  <c r="G88" i="40"/>
  <c r="E87" i="42" s="1"/>
  <c r="B119" i="40"/>
  <c r="C82" i="42" l="1"/>
  <c r="L85" i="40"/>
  <c r="K102" i="40"/>
  <c r="J102" i="40"/>
  <c r="L102" i="40"/>
  <c r="O85" i="40"/>
  <c r="O102" i="40"/>
  <c r="K85" i="40"/>
  <c r="J85" i="40"/>
  <c r="N102" i="40"/>
  <c r="M102" i="40"/>
  <c r="N85" i="40"/>
  <c r="M85" i="40"/>
  <c r="K68" i="40"/>
  <c r="J51" i="40"/>
  <c r="O51" i="40"/>
  <c r="M68" i="40"/>
  <c r="L68" i="40"/>
  <c r="O68" i="40"/>
  <c r="K51" i="40"/>
  <c r="N68" i="40"/>
  <c r="N51" i="40"/>
  <c r="L51" i="40"/>
  <c r="M51" i="40"/>
  <c r="J68" i="40"/>
  <c r="B51" i="40"/>
  <c r="E68" i="40"/>
  <c r="C68" i="40"/>
  <c r="E51" i="40"/>
  <c r="F51" i="40"/>
  <c r="D68" i="40"/>
  <c r="B68" i="40"/>
  <c r="D49" i="6"/>
  <c r="D51" i="40"/>
  <c r="C35" i="6"/>
  <c r="F68" i="40"/>
  <c r="C51" i="40"/>
  <c r="I49" i="6"/>
  <c r="H49" i="6"/>
  <c r="B120" i="40"/>
  <c r="E120" i="40"/>
  <c r="D120" i="40"/>
  <c r="D85" i="40"/>
  <c r="G102" i="40"/>
  <c r="D83" i="42" s="1"/>
  <c r="C85" i="40"/>
  <c r="B102" i="40"/>
  <c r="K120" i="40"/>
  <c r="G85" i="40"/>
  <c r="E83" i="42" s="1"/>
  <c r="G35" i="6"/>
  <c r="B85" i="40"/>
  <c r="C102" i="40"/>
  <c r="M120" i="40"/>
  <c r="F85" i="40"/>
  <c r="F102" i="40"/>
  <c r="C120" i="40"/>
  <c r="G120" i="40"/>
  <c r="L120" i="40"/>
  <c r="E102" i="40"/>
  <c r="E85" i="40"/>
  <c r="J120" i="40"/>
  <c r="F120" i="40"/>
  <c r="D102" i="40"/>
  <c r="O120" i="40"/>
  <c r="N120" i="40"/>
  <c r="C83" i="42" l="1"/>
  <c r="J89" i="40"/>
  <c r="M106" i="40"/>
  <c r="J86" i="40"/>
  <c r="N103" i="40"/>
  <c r="K86" i="40"/>
  <c r="J103" i="40"/>
  <c r="K103" i="40"/>
  <c r="M86" i="40"/>
  <c r="K89" i="40"/>
  <c r="O106" i="40"/>
  <c r="O89" i="40"/>
  <c r="O86" i="40"/>
  <c r="L106" i="40"/>
  <c r="O103" i="40"/>
  <c r="L86" i="40"/>
  <c r="L103" i="40"/>
  <c r="M103" i="40"/>
  <c r="K106" i="40"/>
  <c r="N86" i="40"/>
  <c r="L89" i="40"/>
  <c r="J106" i="40"/>
  <c r="M89" i="40"/>
  <c r="N89" i="40"/>
  <c r="N106" i="40"/>
  <c r="O52" i="40"/>
  <c r="M69" i="40"/>
  <c r="L72" i="40"/>
  <c r="O72" i="40"/>
  <c r="K69" i="40"/>
  <c r="N72" i="40"/>
  <c r="O69" i="40"/>
  <c r="J52" i="40"/>
  <c r="K72" i="40"/>
  <c r="L69" i="40"/>
  <c r="N69" i="40"/>
  <c r="K52" i="40"/>
  <c r="O55" i="40"/>
  <c r="J55" i="40"/>
  <c r="M55" i="40"/>
  <c r="L52" i="40"/>
  <c r="N55" i="40"/>
  <c r="L55" i="40"/>
  <c r="M52" i="40"/>
  <c r="J72" i="40"/>
  <c r="K55" i="40"/>
  <c r="J69" i="40"/>
  <c r="N52" i="40"/>
  <c r="M72" i="40"/>
  <c r="C72" i="40"/>
  <c r="C55" i="40"/>
  <c r="B52" i="40"/>
  <c r="B69" i="40"/>
  <c r="E69" i="40"/>
  <c r="E72" i="40"/>
  <c r="D63" i="6"/>
  <c r="C52" i="40"/>
  <c r="E69" i="6"/>
  <c r="D52" i="40"/>
  <c r="F69" i="40"/>
  <c r="D69" i="40"/>
  <c r="E55" i="6"/>
  <c r="G69" i="40"/>
  <c r="F84" i="42" s="1"/>
  <c r="F72" i="40"/>
  <c r="D59" i="6"/>
  <c r="F55" i="40"/>
  <c r="C69" i="40"/>
  <c r="G72" i="40"/>
  <c r="F88" i="42" s="1"/>
  <c r="C50" i="6"/>
  <c r="E50" i="6" s="1"/>
  <c r="D72" i="40"/>
  <c r="E52" i="40"/>
  <c r="D55" i="6"/>
  <c r="E55" i="40"/>
  <c r="B72" i="40"/>
  <c r="D55" i="40"/>
  <c r="F52" i="40"/>
  <c r="B55" i="40"/>
  <c r="E59" i="6"/>
  <c r="O121" i="40"/>
  <c r="C84" i="42" s="1"/>
  <c r="D121" i="40"/>
  <c r="M121" i="40"/>
  <c r="E106" i="40"/>
  <c r="L121" i="40"/>
  <c r="F121" i="40"/>
  <c r="F86" i="40"/>
  <c r="E86" i="40"/>
  <c r="K124" i="40"/>
  <c r="E89" i="40"/>
  <c r="F106" i="40"/>
  <c r="C89" i="40"/>
  <c r="N121" i="40"/>
  <c r="H59" i="6"/>
  <c r="E124" i="40"/>
  <c r="B86" i="40"/>
  <c r="G86" i="40"/>
  <c r="E84" i="42" s="1"/>
  <c r="D124" i="40"/>
  <c r="D106" i="40"/>
  <c r="I59" i="6"/>
  <c r="D103" i="40"/>
  <c r="J124" i="40"/>
  <c r="B103" i="40"/>
  <c r="G124" i="40"/>
  <c r="G121" i="40"/>
  <c r="I55" i="6"/>
  <c r="J121" i="40"/>
  <c r="G106" i="40"/>
  <c r="D88" i="42" s="1"/>
  <c r="B106" i="40"/>
  <c r="K121" i="40"/>
  <c r="L124" i="40"/>
  <c r="H55" i="6"/>
  <c r="B121" i="40"/>
  <c r="C103" i="40"/>
  <c r="E121" i="40"/>
  <c r="F103" i="40"/>
  <c r="M124" i="40"/>
  <c r="C106" i="40"/>
  <c r="D89" i="40"/>
  <c r="G50" i="6"/>
  <c r="C121" i="40"/>
  <c r="H63" i="6"/>
  <c r="C124" i="40"/>
  <c r="G89" i="40"/>
  <c r="E88" i="42" s="1"/>
  <c r="E103" i="40"/>
  <c r="B89" i="40"/>
  <c r="D86" i="40"/>
  <c r="B124" i="40"/>
  <c r="F89" i="40"/>
  <c r="G103" i="40"/>
  <c r="D84" i="42" s="1"/>
  <c r="O124" i="40"/>
  <c r="C88" i="42" s="1"/>
  <c r="C86" i="40"/>
  <c r="N124" i="40"/>
  <c r="F124" i="40"/>
  <c r="D50" i="6" l="1"/>
  <c r="C69" i="6"/>
  <c r="C70" i="6"/>
  <c r="E70" i="6"/>
  <c r="I50" i="6"/>
  <c r="H50" i="6"/>
  <c r="I69" i="6"/>
  <c r="G69" i="6"/>
  <c r="G70" i="6"/>
  <c r="I70" i="6"/>
  <c r="G44" i="40"/>
  <c r="G41" i="42" s="1"/>
  <c r="G42" i="42" l="1"/>
  <c r="G61" i="42"/>
  <c r="G21" i="42" s="1"/>
  <c r="G45" i="40"/>
  <c r="G49" i="42" s="1"/>
  <c r="G51" i="42" s="1"/>
  <c r="G63" i="42" l="1"/>
  <c r="G71" i="42" s="1"/>
  <c r="E151" i="40"/>
  <c r="G62" i="42"/>
  <c r="G52" i="42"/>
  <c r="G46" i="40"/>
  <c r="G54" i="42" s="1"/>
  <c r="G55" i="42" s="1"/>
  <c r="I55" i="42" s="1"/>
  <c r="D32" i="42" s="1"/>
  <c r="D35" i="42" s="1"/>
  <c r="G43" i="42"/>
  <c r="D151" i="40"/>
  <c r="G66" i="42" l="1"/>
  <c r="I66" i="42" s="1"/>
  <c r="E32" i="42" s="1"/>
  <c r="G70" i="42"/>
  <c r="G64" i="42"/>
  <c r="G65" i="42"/>
  <c r="C151" i="40" s="1"/>
  <c r="I71" i="42"/>
  <c r="E33" i="42" s="1"/>
  <c r="G51" i="40"/>
  <c r="G83" i="42" s="1"/>
  <c r="G52" i="40"/>
  <c r="G84" i="42" s="1"/>
  <c r="G54" i="40"/>
  <c r="G87" i="42" s="1"/>
  <c r="G48" i="40"/>
  <c r="G50" i="40"/>
  <c r="G82" i="42" s="1"/>
  <c r="G55" i="40"/>
  <c r="G88" i="42" s="1"/>
  <c r="G150" i="42" l="1"/>
  <c r="G151" i="42" s="1"/>
  <c r="H151" i="42" s="1"/>
  <c r="E34" i="42" s="1"/>
  <c r="E35" i="42" s="1"/>
  <c r="G75" i="42"/>
  <c r="I75" i="42" s="1"/>
  <c r="G74" i="42"/>
  <c r="B151" i="40" s="1"/>
  <c r="G45" i="42"/>
  <c r="I45" i="42" s="1"/>
  <c r="C32" i="42" s="1"/>
  <c r="C35" i="42" s="1"/>
  <c r="A151" i="40"/>
  <c r="G46" i="42"/>
  <c r="G78" i="42"/>
  <c r="G79" i="42"/>
</calcChain>
</file>

<file path=xl/sharedStrings.xml><?xml version="1.0" encoding="utf-8"?>
<sst xmlns="http://schemas.openxmlformats.org/spreadsheetml/2006/main" count="771" uniqueCount="317">
  <si>
    <t>lbs</t>
  </si>
  <si>
    <t>$/acre</t>
  </si>
  <si>
    <t>Total</t>
  </si>
  <si>
    <t>Fuel</t>
  </si>
  <si>
    <t/>
  </si>
  <si>
    <t>A.  Operating Costs</t>
  </si>
  <si>
    <t>Fertilizer</t>
  </si>
  <si>
    <t>Machinery Operating</t>
  </si>
  <si>
    <t>Crop Insurance</t>
  </si>
  <si>
    <t>Other Costs</t>
  </si>
  <si>
    <t>Land Taxes</t>
  </si>
  <si>
    <t>Interest on Operating</t>
  </si>
  <si>
    <t>B.   Fixed Costs</t>
  </si>
  <si>
    <t>Storage Costs</t>
  </si>
  <si>
    <t>Total Operating &amp; Fixed</t>
  </si>
  <si>
    <t>C. Labour</t>
  </si>
  <si>
    <t>Total Costs</t>
  </si>
  <si>
    <t>Operating Costs</t>
  </si>
  <si>
    <t>Total Operating</t>
  </si>
  <si>
    <t xml:space="preserve">Total Fixed </t>
  </si>
  <si>
    <t>$/lb</t>
  </si>
  <si>
    <t>Estimated Farmgate</t>
  </si>
  <si>
    <t xml:space="preserve">Marginal Returns </t>
  </si>
  <si>
    <t>Profitability &amp; Breakeven Analysis</t>
  </si>
  <si>
    <t>Operating Expense Ratio</t>
  </si>
  <si>
    <t>Over Operating Costs</t>
  </si>
  <si>
    <t>Over Total Costs (Net Profit)</t>
  </si>
  <si>
    <t>Alfalfa</t>
  </si>
  <si>
    <t>Forage Seed &amp; Treatment</t>
  </si>
  <si>
    <t>Nurse Crop Seed</t>
  </si>
  <si>
    <t>Alfalfa Hay</t>
  </si>
  <si>
    <t>$/ton</t>
  </si>
  <si>
    <t>Alfalfa-Grass Hay</t>
  </si>
  <si>
    <t>Alfalfa-Grass</t>
  </si>
  <si>
    <t>Herbicide/Insecticide</t>
  </si>
  <si>
    <t>Bale Weight (lbs.)</t>
  </si>
  <si>
    <t>Gross Revenue</t>
  </si>
  <si>
    <t>Yield per acre (ton)</t>
  </si>
  <si>
    <t>Price $ per ton</t>
  </si>
  <si>
    <t xml:space="preserve"> -</t>
  </si>
  <si>
    <t>Production Costs</t>
  </si>
  <si>
    <t>Establishment (amortized)</t>
  </si>
  <si>
    <t>TDN &amp; Crude Protein Cost Analysis</t>
  </si>
  <si>
    <r>
      <rPr>
        <b/>
        <sz val="10"/>
        <rFont val="Arial"/>
        <family val="2"/>
      </rPr>
      <t>Note:</t>
    </r>
    <r>
      <rPr>
        <sz val="10"/>
        <rFont val="Arial"/>
        <family val="2"/>
      </rPr>
      <t xml:space="preserve"> This budget is only a guide and is not intended as an in depth study of the cost of production of this industry. Interpretation and utilization of this information is the responsibility of the user.</t>
    </r>
  </si>
  <si>
    <t>Rental and Custom</t>
  </si>
  <si>
    <t>Machinery Lease</t>
  </si>
  <si>
    <t xml:space="preserve">Economics of Baled Hay vs Round Bale or Pit Silage </t>
  </si>
  <si>
    <t>Inputs and Production</t>
  </si>
  <si>
    <t>Hay</t>
  </si>
  <si>
    <t>Round Bale Silage</t>
  </si>
  <si>
    <t xml:space="preserve">Pit Silage </t>
  </si>
  <si>
    <t>Field Size</t>
  </si>
  <si>
    <t>acres</t>
  </si>
  <si>
    <t>? Add in cost for standing hay per pound?</t>
  </si>
  <si>
    <t>Forage dry matter (DM) yield</t>
  </si>
  <si>
    <t>tons per acre</t>
  </si>
  <si>
    <t>?? Change to yield as fed</t>
  </si>
  <si>
    <t>Forage Moisture Content</t>
  </si>
  <si>
    <t>%</t>
  </si>
  <si>
    <t>Forage dry matter (DM)</t>
  </si>
  <si>
    <t>hay 12.6%</t>
  </si>
  <si>
    <t># of cuttings</t>
  </si>
  <si>
    <t># of rakings</t>
  </si>
  <si>
    <t>Average bale weight</t>
  </si>
  <si>
    <t># of bales (tons for pit silage) produced</t>
  </si>
  <si>
    <t>tons</t>
  </si>
  <si>
    <t>Forage total digestible nutrients (TDN)</t>
  </si>
  <si>
    <t>Forage crude protein (CP)</t>
  </si>
  <si>
    <t>Estimated Storage Loss</t>
  </si>
  <si>
    <t>Total as-fed production</t>
  </si>
  <si>
    <t>*hide*</t>
  </si>
  <si>
    <t>Total DM production</t>
  </si>
  <si>
    <t>DM TDN produced</t>
  </si>
  <si>
    <t>DM CP produced</t>
  </si>
  <si>
    <t>Total as-fed available</t>
  </si>
  <si>
    <t>Total DM available</t>
  </si>
  <si>
    <t>TDN available</t>
  </si>
  <si>
    <t>CP available</t>
  </si>
  <si>
    <t>Production Economics</t>
  </si>
  <si>
    <t xml:space="preserve">Cutting Cost per acre </t>
  </si>
  <si>
    <t xml:space="preserve">Chopping Cost per ton </t>
  </si>
  <si>
    <t>-</t>
  </si>
  <si>
    <t xml:space="preserve">Raking Cost per acre </t>
  </si>
  <si>
    <t>Baling Cost per Bale</t>
  </si>
  <si>
    <t>Moving Cost per Bale</t>
  </si>
  <si>
    <t>?forage cost per hour</t>
  </si>
  <si>
    <t>Wrapper Cost per Bale (packing cost for pit silage)</t>
  </si>
  <si>
    <t xml:space="preserve">packing </t>
  </si>
  <si>
    <t>? Wrapper cost per roll, wraps per blae</t>
  </si>
  <si>
    <t>Plastic Wrap Cost per Bale</t>
  </si>
  <si>
    <t>Total cost</t>
  </si>
  <si>
    <t>$</t>
  </si>
  <si>
    <t>as-fed cost per acre</t>
  </si>
  <si>
    <t>DM cost per acre</t>
  </si>
  <si>
    <t>As-fed forage harvest cost</t>
  </si>
  <si>
    <t>Dry matter forage cost</t>
  </si>
  <si>
    <t>As-fed bale cost</t>
  </si>
  <si>
    <t>$/bale</t>
  </si>
  <si>
    <t>Dry matter bale cost</t>
  </si>
  <si>
    <t>Cost of DM</t>
  </si>
  <si>
    <t>Cost of TDN</t>
  </si>
  <si>
    <t>Cost of CP</t>
  </si>
  <si>
    <t xml:space="preserve">Final Forage Economics (includes spoilage loss and hauled to the yard ) </t>
  </si>
  <si>
    <t>As fed forage cost</t>
  </si>
  <si>
    <t xml:space="preserve">As fed Bale (ton for pit silage) cost </t>
  </si>
  <si>
    <t xml:space="preserve">Dry Matter bale (ton for pit silage) Cost </t>
  </si>
  <si>
    <t>?bale moving cost</t>
  </si>
  <si>
    <t>Twine/Net Wrap</t>
  </si>
  <si>
    <t>Plastic Silage Wrap</t>
  </si>
  <si>
    <t>Without Storage Loss</t>
  </si>
  <si>
    <t>As Fed</t>
  </si>
  <si>
    <t>DM</t>
  </si>
  <si>
    <t>Greenfeed Hay</t>
  </si>
  <si>
    <t>Greenfeed</t>
  </si>
  <si>
    <t>Breakeven Price ($/ton)</t>
  </si>
  <si>
    <t>Breakeven Yield (tons/acre)</t>
  </si>
  <si>
    <t>(as fed)</t>
  </si>
  <si>
    <t>(DM)</t>
  </si>
  <si>
    <t>Nutrient Cost ($/pound DM)</t>
  </si>
  <si>
    <t>Cost of Standing Hay ($/lb.)</t>
  </si>
  <si>
    <t>Premium Cost (% of Insured)</t>
  </si>
  <si>
    <t>Operating &amp; Fixed Costs</t>
  </si>
  <si>
    <t>AgriInsurance Risk Ratio</t>
  </si>
  <si>
    <t>Dollar Value ($/tonne)</t>
  </si>
  <si>
    <t>Dollar Value ($/ton)</t>
  </si>
  <si>
    <t>Probable Yield (tonnes)</t>
  </si>
  <si>
    <t>Premium ($/Acre)</t>
  </si>
  <si>
    <t>&lt;=4 years</t>
  </si>
  <si>
    <t>&gt;4 years</t>
  </si>
  <si>
    <t>Forage Region</t>
  </si>
  <si>
    <t>Select Hay-80%</t>
  </si>
  <si>
    <t>Select Hay - 80%</t>
  </si>
  <si>
    <t>Basic Hay</t>
  </si>
  <si>
    <t>Low Dollar Value</t>
  </si>
  <si>
    <t>High Dollar Value</t>
  </si>
  <si>
    <t>Dollar Coverage per acre</t>
  </si>
  <si>
    <t>Probable Yield x IPI (tons/acre)</t>
  </si>
  <si>
    <t>Costs Not Covered by AgriInsurance</t>
  </si>
  <si>
    <t>Coverage per acre (tons)</t>
  </si>
  <si>
    <t>Basic Hay - Alfalfa Grass</t>
  </si>
  <si>
    <t>70% Coverage</t>
  </si>
  <si>
    <t>80% Coverage</t>
  </si>
  <si>
    <t>Forage Region 1</t>
  </si>
  <si>
    <t>Forage Region 2</t>
  </si>
  <si>
    <t>Forage Region 3</t>
  </si>
  <si>
    <t>Forage Region 4</t>
  </si>
  <si>
    <t>Forage Region 5</t>
  </si>
  <si>
    <t>Forage Region 6</t>
  </si>
  <si>
    <t>D soil zone</t>
  </si>
  <si>
    <t>Probable Yield (tons)</t>
  </si>
  <si>
    <t>Risk Area</t>
  </si>
  <si>
    <t>Risk Area 6</t>
  </si>
  <si>
    <t>Risk Area 1</t>
  </si>
  <si>
    <t>Risk Area 2</t>
  </si>
  <si>
    <t>Risk Area 3</t>
  </si>
  <si>
    <t>Risk Area 4</t>
  </si>
  <si>
    <t>Risk Area 5</t>
  </si>
  <si>
    <t>Risk Area 7</t>
  </si>
  <si>
    <t>Risk Area 8</t>
  </si>
  <si>
    <t>Risk Area 9</t>
  </si>
  <si>
    <t>Risk Area 10</t>
  </si>
  <si>
    <t>Risk Area 11</t>
  </si>
  <si>
    <t>Risk Area 12</t>
  </si>
  <si>
    <t>Risk Area 14</t>
  </si>
  <si>
    <t>Risk Area 15</t>
  </si>
  <si>
    <t>Greenfeed IPI</t>
  </si>
  <si>
    <t>(Linked to production tab)</t>
  </si>
  <si>
    <t xml:space="preserve">Risk Area </t>
  </si>
  <si>
    <t>Probable Yield - IC (tons/acre)</t>
  </si>
  <si>
    <t>Silage Corn</t>
  </si>
  <si>
    <t>(Dry Matter-DM)</t>
  </si>
  <si>
    <t>Corn Silage</t>
  </si>
  <si>
    <t>Risk Area 16</t>
  </si>
  <si>
    <t>Land Cost</t>
  </si>
  <si>
    <t>Machinery Costs</t>
  </si>
  <si>
    <t>On-Farm Harvest Cost ($/ton)</t>
  </si>
  <si>
    <t>Cost of Standing Hay ($/ton)</t>
  </si>
  <si>
    <t>Select Hay-70%</t>
  </si>
  <si>
    <t>Coverage</t>
  </si>
  <si>
    <t>Coverage Calculation</t>
  </si>
  <si>
    <t>Hay Disaster Benefit Value (HDB)</t>
  </si>
  <si>
    <t>More Than 4 Year Stand</t>
  </si>
  <si>
    <t>4 Years or Less Stand</t>
  </si>
  <si>
    <t>Alfalfa Grass - Select Hay</t>
  </si>
  <si>
    <t>Hay Acres</t>
  </si>
  <si>
    <t>Coverage ($/ton)</t>
  </si>
  <si>
    <t>A.</t>
  </si>
  <si>
    <t>B.</t>
  </si>
  <si>
    <t>C.</t>
  </si>
  <si>
    <t>D.</t>
  </si>
  <si>
    <t>E.</t>
  </si>
  <si>
    <t>F.</t>
  </si>
  <si>
    <t>Coverage (tons/acre) = B x %</t>
  </si>
  <si>
    <t>H.</t>
  </si>
  <si>
    <t>G.</t>
  </si>
  <si>
    <t>Coverage ($/bale)</t>
  </si>
  <si>
    <t>Dollar Value ($/bale)</t>
  </si>
  <si>
    <t>Indmenity Calculation</t>
  </si>
  <si>
    <t>Breakeven Calculation</t>
  </si>
  <si>
    <t>Est. Breakeven yield (tons/acre)</t>
  </si>
  <si>
    <t>Est. Breakeven yield (bales/acre)</t>
  </si>
  <si>
    <t>Percent of Probable Yield</t>
  </si>
  <si>
    <t>Hay Disaster Benefit Calculation</t>
  </si>
  <si>
    <t>Significant MB hay yield loss</t>
  </si>
  <si>
    <t>Yes</t>
  </si>
  <si>
    <t>No</t>
  </si>
  <si>
    <t>(more than 20% of the producers insured by AgriInsurance have less than 50% of their long-term probable yield)</t>
  </si>
  <si>
    <t>n/a</t>
  </si>
  <si>
    <t>Total Indemnity + HDB</t>
  </si>
  <si>
    <t>Forage Indemnity (% of coverage)</t>
  </si>
  <si>
    <t>Pasture Insurance $/animal</t>
  </si>
  <si>
    <t>I.</t>
  </si>
  <si>
    <t>J.</t>
  </si>
  <si>
    <t>K.</t>
  </si>
  <si>
    <t>L.</t>
  </si>
  <si>
    <t>M.</t>
  </si>
  <si>
    <t>Coverage ($/acre) = H x I</t>
  </si>
  <si>
    <t>N.</t>
  </si>
  <si>
    <t>O.</t>
  </si>
  <si>
    <t>P.</t>
  </si>
  <si>
    <t>Q.</t>
  </si>
  <si>
    <t>R.</t>
  </si>
  <si>
    <t>S.</t>
  </si>
  <si>
    <t>T.</t>
  </si>
  <si>
    <t>U.</t>
  </si>
  <si>
    <t>V.</t>
  </si>
  <si>
    <t>X.</t>
  </si>
  <si>
    <t>Y.</t>
  </si>
  <si>
    <t>Z.</t>
  </si>
  <si>
    <t>Est. Hay Disaster Benefit = A x Y</t>
  </si>
  <si>
    <t>Forage Indemnity (bales/acre) = J - O</t>
  </si>
  <si>
    <t>Forage Indemnity (tons/acre) = H - O</t>
  </si>
  <si>
    <t>Est. Forage Indemnity ($/acre) = I x S</t>
  </si>
  <si>
    <t>Est. Indemnity + HDB ($/acre) = U + Y</t>
  </si>
  <si>
    <t>AA.</t>
  </si>
  <si>
    <t>AB.</t>
  </si>
  <si>
    <t>Premium Cost (% of Insured) = E/M</t>
  </si>
  <si>
    <t>AJ.</t>
  </si>
  <si>
    <t>AK.</t>
  </si>
  <si>
    <t>AL.</t>
  </si>
  <si>
    <t>AM.</t>
  </si>
  <si>
    <t>Forage Indemnity (% of coverage) = T</t>
  </si>
  <si>
    <t>Indem + HDB</t>
  </si>
  <si>
    <t>Forage Insurance Indemnity</t>
  </si>
  <si>
    <t>Green-feed</t>
  </si>
  <si>
    <t>Alfalfa -
 Select Hay</t>
  </si>
  <si>
    <t>Select Forage Region</t>
  </si>
  <si>
    <t>Select Risk Area</t>
  </si>
  <si>
    <t>Select Coverage Level</t>
  </si>
  <si>
    <t>*IPI = Individual Productivity Index</t>
  </si>
  <si>
    <t>Cow.Calf Pairs, Bulls</t>
  </si>
  <si>
    <t>Open Cows</t>
  </si>
  <si>
    <t>Bred Cow &amp; Heifers</t>
  </si>
  <si>
    <t>Yearling Calves</t>
  </si>
  <si>
    <t>Steers &amp; Heifers</t>
  </si>
  <si>
    <t>Beef, Dairy, and Bison</t>
  </si>
  <si>
    <t>Sheep and Goats</t>
  </si>
  <si>
    <t>Horses and Mules</t>
  </si>
  <si>
    <t>Elk, Donkeys and Llamas</t>
  </si>
  <si>
    <t>Deer and Alpacas</t>
  </si>
  <si>
    <t>Animals per Acre of Insured Forage</t>
  </si>
  <si>
    <t>Maximum Insured head</t>
  </si>
  <si>
    <t>Dollar Coverage</t>
  </si>
  <si>
    <t>Eligible Acres Remaining</t>
  </si>
  <si>
    <t>Premium Cost per Head</t>
  </si>
  <si>
    <t>Premium Cost</t>
  </si>
  <si>
    <t>Number of Pastured animals</t>
  </si>
  <si>
    <t>Animals Type</t>
  </si>
  <si>
    <t>AC</t>
  </si>
  <si>
    <t>AD</t>
  </si>
  <si>
    <t>AE</t>
  </si>
  <si>
    <t>ADxAE=AF</t>
  </si>
  <si>
    <t>AG</t>
  </si>
  <si>
    <t>AExAG=AH</t>
  </si>
  <si>
    <t>AI. Premium Cost (% of Insured) = AH/AF</t>
  </si>
  <si>
    <t>% of Insured Forage Acres=  A/Total</t>
  </si>
  <si>
    <t>Coverage ($) = AJ x AF</t>
  </si>
  <si>
    <t>Forage AgriInsurance Analysis</t>
  </si>
  <si>
    <t>Indemenity Calculation</t>
  </si>
  <si>
    <t xml:space="preserve">. . . . . . . . . . . . . . . . . . . . . . . . . . . . . . . . . . . . . . . . . . . . . . . . . . . . . . . . . . . . . . . . </t>
  </si>
  <si>
    <t>Printed:</t>
  </si>
  <si>
    <r>
      <t xml:space="preserve">*** Enter/select changes to items in </t>
    </r>
    <r>
      <rPr>
        <b/>
        <sz val="10"/>
        <color indexed="12"/>
        <rFont val="Arial"/>
        <family val="2"/>
      </rPr>
      <t xml:space="preserve">BLUE </t>
    </r>
    <r>
      <rPr>
        <b/>
        <sz val="10"/>
        <rFont val="Arial"/>
        <family val="2"/>
      </rPr>
      <t>only ***</t>
    </r>
  </si>
  <si>
    <t>Forage AgriInsurance Calculator</t>
  </si>
  <si>
    <t>Pasture Insurance Optional Coverage Analysis</t>
  </si>
  <si>
    <r>
      <t xml:space="preserve">Premium (Total $) </t>
    </r>
    <r>
      <rPr>
        <b/>
        <sz val="12"/>
        <rFont val="Arial"/>
        <family val="2"/>
      </rPr>
      <t xml:space="preserve">= A x C </t>
    </r>
  </si>
  <si>
    <r>
      <t xml:space="preserve">Coverage (Total $) </t>
    </r>
    <r>
      <rPr>
        <b/>
        <sz val="12"/>
        <rFont val="Arial"/>
        <family val="2"/>
      </rPr>
      <t>= A x M</t>
    </r>
  </si>
  <si>
    <r>
      <t xml:space="preserve">Estimated Forage Indemnity
</t>
    </r>
    <r>
      <rPr>
        <b/>
        <sz val="11"/>
        <rFont val="Arial"/>
        <family val="2"/>
      </rPr>
      <t xml:space="preserve"> </t>
    </r>
    <r>
      <rPr>
        <b/>
        <sz val="12"/>
        <rFont val="Arial"/>
        <family val="2"/>
      </rPr>
      <t>= A x U</t>
    </r>
  </si>
  <si>
    <r>
      <t>Est. Indemnity + HDB</t>
    </r>
    <r>
      <rPr>
        <b/>
        <sz val="12"/>
        <rFont val="Arial"/>
        <family val="2"/>
      </rPr>
      <t xml:space="preserve"> = V + Z</t>
    </r>
  </si>
  <si>
    <r>
      <t>Est. Pasture Indemnity</t>
    </r>
    <r>
      <rPr>
        <b/>
        <sz val="12"/>
        <rFont val="Arial"/>
        <family val="2"/>
      </rPr>
      <t xml:space="preserve"> = AK x AL</t>
    </r>
  </si>
  <si>
    <t>TOTAL</t>
  </si>
  <si>
    <t xml:space="preserve">Links to MASC information - </t>
  </si>
  <si>
    <r>
      <t xml:space="preserve">AgriInsurance Risk Ratio </t>
    </r>
    <r>
      <rPr>
        <b/>
        <u/>
        <sz val="10"/>
        <rFont val="Arial"/>
        <family val="2"/>
      </rPr>
      <t>(AgriInsurance coverage / production costs)</t>
    </r>
  </si>
  <si>
    <t>Forage Insurance</t>
  </si>
  <si>
    <t>Pasture Insurance Option</t>
  </si>
  <si>
    <t>Estimated Hay Disaster Benefit</t>
  </si>
  <si>
    <t>Total Producer Premium</t>
  </si>
  <si>
    <t>Total Dollar Coverage</t>
  </si>
  <si>
    <t>Total Estimated Indemnity</t>
  </si>
  <si>
    <t xml:space="preserve">   **Enter either Basic Hay or Select Hay acres, not both</t>
  </si>
  <si>
    <r>
      <t xml:space="preserve">Costs Not Covered By AgriInsurance </t>
    </r>
    <r>
      <rPr>
        <b/>
        <u/>
        <sz val="10"/>
        <rFont val="Arial"/>
        <family val="2"/>
      </rPr>
      <t>(estimated from Forage Cost of Production Guide)</t>
    </r>
  </si>
  <si>
    <t>Forage AgriInsurance Input</t>
  </si>
  <si>
    <t>Est.. Forage Yield (bales/acre)</t>
  </si>
  <si>
    <t>Est.. Forage Yield (tons/acre)</t>
  </si>
  <si>
    <t>Forage AgriInsurance - Cost, Coverage &amp; Estimated Indemnity Summary</t>
  </si>
  <si>
    <r>
      <t>Producers enrolled in Basic Hay Insurance are also eligible for the </t>
    </r>
    <r>
      <rPr>
        <b/>
        <sz val="12"/>
        <color rgb="FF282525"/>
        <rFont val="Arial"/>
        <family val="2"/>
      </rPr>
      <t>Harvest Flood Option</t>
    </r>
    <r>
      <rPr>
        <sz val="12"/>
        <color rgb="FF282525"/>
        <rFont val="Arial"/>
        <family val="2"/>
      </rPr>
      <t> for insured coarse hay, and </t>
    </r>
    <r>
      <rPr>
        <b/>
        <sz val="12"/>
        <color rgb="FF282525"/>
        <rFont val="Arial"/>
        <family val="2"/>
      </rPr>
      <t>Pasture Insurance</t>
    </r>
    <r>
      <rPr>
        <sz val="12"/>
        <color rgb="FF282525"/>
        <rFont val="Arial"/>
        <family val="2"/>
      </rPr>
      <t>, along with being automatically qualified for the </t>
    </r>
    <r>
      <rPr>
        <b/>
        <sz val="12"/>
        <color rgb="FF282525"/>
        <rFont val="Arial"/>
        <family val="2"/>
      </rPr>
      <t>Hay Disaster Benefit</t>
    </r>
    <r>
      <rPr>
        <sz val="12"/>
        <color rgb="FF282525"/>
        <rFont val="Arial"/>
        <family val="2"/>
      </rPr>
      <t> and the </t>
    </r>
    <r>
      <rPr>
        <b/>
        <sz val="12"/>
        <color rgb="FF282525"/>
        <rFont val="Arial"/>
        <family val="2"/>
      </rPr>
      <t>Forage Restoration Benefit</t>
    </r>
    <r>
      <rPr>
        <sz val="12"/>
        <color rgb="FF282525"/>
        <rFont val="Arial"/>
        <family val="2"/>
      </rPr>
      <t>.</t>
    </r>
  </si>
  <si>
    <r>
      <t xml:space="preserve">The </t>
    </r>
    <r>
      <rPr>
        <b/>
        <sz val="12"/>
        <color theme="1"/>
        <rFont val="Arial"/>
        <family val="2"/>
      </rPr>
      <t>Enhanced Quality Option</t>
    </r>
    <r>
      <rPr>
        <sz val="12"/>
        <color theme="1"/>
        <rFont val="Arial"/>
        <family val="2"/>
      </rPr>
      <t xml:space="preserve"> for Alfalfa, part of MASC Forage Insurance, provides a higher quality guarantee for Alfalfa acres insured under Select Hay Insurance. The Enhanced Quality Option allows producers to increase their RFV guarantee above 105 (the base guarantee for Alfalfa covered by Select Hay Insurance). All producers selecting the Enhanced Quality Option start with an Assigned RFV of 130. A producer is entitled to a claim if their Alfalfa coverage (in tonnes) has an RFV less than their RFV guarantee.</t>
    </r>
  </si>
  <si>
    <t>Other Information:</t>
  </si>
  <si>
    <t>Probable Yield (tons/acre)</t>
  </si>
  <si>
    <t>Est. Forage Yield for Analysis</t>
  </si>
  <si>
    <t>**HIDE**Calculated Yield Factor</t>
  </si>
  <si>
    <t xml:space="preserve">MASC Long Term Average Yield </t>
  </si>
  <si>
    <t xml:space="preserve">(or enter Your Farm LT Average Yield) </t>
  </si>
  <si>
    <t>(Percent of Probable Yield)</t>
  </si>
  <si>
    <t>Low - $58/tonne</t>
  </si>
  <si>
    <t>***2023 MASC DATA***</t>
  </si>
  <si>
    <t>*Based on 2023 MASC data*</t>
  </si>
  <si>
    <t>January,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</si>
</sst>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5" formatCode="&quot;$&quot;#,##0;\-&quot;$&quot;#,##0"/>
    <numFmt numFmtId="6" formatCode="&quot;$&quot;#,##0;[Red]\-&quot;$&quot;#,##0"/>
    <numFmt numFmtId="7" formatCode="&quot;$&quot;#,##0.00;\-&quot;$&quot;#,##0.00"/>
    <numFmt numFmtId="8" formatCode="&quot;$&quot;#,##0.00;[Red]\-&quot;$&quot;#,##0.00"/>
    <numFmt numFmtId="164" formatCode="&quot;$&quot;#,##0.00_);\(&quot;$&quot;#,##0.00\)"/>
    <numFmt numFmtId="165" formatCode="0.0%"/>
    <numFmt numFmtId="166" formatCode="0.0"/>
    <numFmt numFmtId="167" formatCode="&quot;$&quot;#,##0.00"/>
    <numFmt numFmtId="168" formatCode="#,##0_ ;\-#,##0\ "/>
    <numFmt numFmtId="169" formatCode="0.0%;\(0.0%\)"/>
    <numFmt numFmtId="170" formatCode="&quot;$&quot;#,##0.0000;\-&quot;$&quot;#,##0.0000"/>
    <numFmt numFmtId="171" formatCode="0.000"/>
    <numFmt numFmtId="172" formatCode="&quot;$&quot;#,##0.0000"/>
    <numFmt numFmtId="173" formatCode="&quot;$&quot;#,##0"/>
    <numFmt numFmtId="174" formatCode="&quot;$&quot;#,##0.000"/>
    <numFmt numFmtId="175" formatCode="&quot;$&quot;#,##0.000;[Red]\-&quot;$&quot;#,##0.000"/>
    <numFmt numFmtId="176" formatCode="&quot;$&quot;#,##0.0000;[Red]\-&quot;$&quot;#,##0.0000"/>
    <numFmt numFmtId="177" formatCode="0.0000"/>
    <numFmt numFmtId="178" formatCode="_(&quot;$&quot;* #,##0.00_);_(&quot;$&quot;* \(#,##0.00\);_(&quot;$&quot;* &quot;-&quot;??_);_(@_)"/>
  </numFmts>
  <fonts count="50" x14ac:knownFonts="1">
    <font>
      <sz val="10"/>
      <name val="Arial"/>
    </font>
    <font>
      <sz val="8"/>
      <name val="Arial"/>
      <family val="2"/>
    </font>
    <font>
      <sz val="12"/>
      <name val="Arial"/>
      <family val="2"/>
    </font>
    <font>
      <sz val="10"/>
      <name val="Arial"/>
      <family val="2"/>
    </font>
    <font>
      <b/>
      <sz val="10"/>
      <name val="Arial"/>
      <family val="2"/>
    </font>
    <font>
      <sz val="14"/>
      <name val="Arial"/>
      <family val="2"/>
    </font>
    <font>
      <b/>
      <sz val="14"/>
      <name val="Arial"/>
      <family val="2"/>
    </font>
    <font>
      <b/>
      <sz val="12"/>
      <color indexed="12"/>
      <name val="Arial"/>
      <family val="2"/>
    </font>
    <font>
      <b/>
      <sz val="12"/>
      <name val="Arial"/>
      <family val="2"/>
    </font>
    <font>
      <b/>
      <u/>
      <sz val="12"/>
      <name val="Arial"/>
      <family val="2"/>
    </font>
    <font>
      <u/>
      <sz val="12"/>
      <name val="Arial"/>
      <family val="2"/>
    </font>
    <font>
      <sz val="11"/>
      <name val="Arial"/>
      <family val="2"/>
    </font>
    <font>
      <b/>
      <sz val="11"/>
      <name val="Arial"/>
      <family val="2"/>
    </font>
    <font>
      <b/>
      <u/>
      <sz val="11"/>
      <name val="Arial"/>
      <family val="2"/>
    </font>
    <font>
      <sz val="22"/>
      <name val="Arial"/>
      <family val="2"/>
    </font>
    <font>
      <sz val="12"/>
      <name val="Arial"/>
      <family val="2"/>
    </font>
    <font>
      <b/>
      <sz val="9"/>
      <name val="Arial"/>
      <family val="2"/>
    </font>
    <font>
      <vertAlign val="superscript"/>
      <sz val="12"/>
      <name val="Arial"/>
      <family val="2"/>
    </font>
    <font>
      <u/>
      <sz val="11"/>
      <color theme="10"/>
      <name val="Calibri"/>
      <family val="2"/>
    </font>
    <font>
      <b/>
      <sz val="12"/>
      <color rgb="FF0000FF"/>
      <name val="Arial"/>
      <family val="2"/>
    </font>
    <font>
      <b/>
      <sz val="11"/>
      <color rgb="FF0000FF"/>
      <name val="Arial"/>
      <family val="2"/>
    </font>
    <font>
      <sz val="12"/>
      <color theme="0"/>
      <name val="Arial"/>
      <family val="2"/>
    </font>
    <font>
      <b/>
      <sz val="12"/>
      <color theme="0"/>
      <name val="Arial"/>
      <family val="2"/>
    </font>
    <font>
      <sz val="14"/>
      <color theme="0"/>
      <name val="Arial"/>
      <family val="2"/>
    </font>
    <font>
      <b/>
      <u/>
      <sz val="11"/>
      <color theme="10"/>
      <name val="Arial"/>
      <family val="2"/>
    </font>
    <font>
      <b/>
      <sz val="10"/>
      <color theme="1"/>
      <name val="Arial"/>
      <family val="2"/>
    </font>
    <font>
      <b/>
      <sz val="12"/>
      <color theme="1"/>
      <name val="Arial"/>
      <family val="2"/>
    </font>
    <font>
      <b/>
      <u/>
      <sz val="12"/>
      <color rgb="FF0000FF"/>
      <name val="Arial"/>
      <family val="2"/>
    </font>
    <font>
      <b/>
      <sz val="11"/>
      <color theme="1"/>
      <name val="Arial"/>
      <family val="2"/>
    </font>
    <font>
      <b/>
      <sz val="11"/>
      <color rgb="FF000000"/>
      <name val="Arial"/>
      <family val="2"/>
    </font>
    <font>
      <sz val="11"/>
      <color rgb="FF000000"/>
      <name val="Arial"/>
      <family val="2"/>
    </font>
    <font>
      <sz val="11"/>
      <color theme="1"/>
      <name val="Arial"/>
      <family val="2"/>
    </font>
    <font>
      <b/>
      <sz val="14"/>
      <color theme="0"/>
      <name val="Arial"/>
      <family val="2"/>
    </font>
    <font>
      <b/>
      <sz val="10"/>
      <color rgb="FF0000FF"/>
      <name val="Arial"/>
      <family val="2"/>
    </font>
    <font>
      <u/>
      <sz val="10"/>
      <color theme="10"/>
      <name val="Arial"/>
      <family val="2"/>
    </font>
    <font>
      <sz val="10"/>
      <name val="Arial"/>
      <family val="2"/>
    </font>
    <font>
      <sz val="12"/>
      <color rgb="FF0000FF"/>
      <name val="Arial"/>
      <family val="2"/>
    </font>
    <font>
      <vertAlign val="superscript"/>
      <sz val="12"/>
      <color rgb="FF0000FF"/>
      <name val="Arial"/>
      <family val="2"/>
    </font>
    <font>
      <u/>
      <sz val="12"/>
      <color rgb="FF0000FF"/>
      <name val="Arial"/>
      <family val="2"/>
    </font>
    <font>
      <sz val="26"/>
      <color indexed="10"/>
      <name val="Times New Roman"/>
      <family val="1"/>
    </font>
    <font>
      <i/>
      <sz val="8"/>
      <name val="Arial"/>
      <family val="2"/>
    </font>
    <font>
      <b/>
      <sz val="14"/>
      <color theme="1"/>
      <name val="Arial"/>
      <family val="2"/>
    </font>
    <font>
      <sz val="8"/>
      <color theme="1"/>
      <name val="Arial"/>
      <family val="2"/>
    </font>
    <font>
      <b/>
      <sz val="10"/>
      <color indexed="12"/>
      <name val="Arial"/>
      <family val="2"/>
    </font>
    <font>
      <b/>
      <sz val="14"/>
      <color rgb="FF008000"/>
      <name val="Calibri"/>
      <family val="2"/>
      <scheme val="minor"/>
    </font>
    <font>
      <b/>
      <u/>
      <sz val="10"/>
      <name val="Arial"/>
      <family val="2"/>
    </font>
    <font>
      <sz val="12"/>
      <color rgb="FF282525"/>
      <name val="Arial"/>
      <family val="2"/>
    </font>
    <font>
      <b/>
      <sz val="12"/>
      <color rgb="FF282525"/>
      <name val="Arial"/>
      <family val="2"/>
    </font>
    <font>
      <sz val="12"/>
      <color theme="1"/>
      <name val="Arial"/>
      <family val="2"/>
    </font>
    <font>
      <b/>
      <i/>
      <sz val="12"/>
      <name val="Arial"/>
      <family val="2"/>
    </font>
  </fonts>
  <fills count="10">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0" tint="-0.14996795556505021"/>
        <bgColor indexed="64"/>
      </patternFill>
    </fill>
    <fill>
      <patternFill patternType="solid">
        <fgColor theme="1"/>
        <bgColor indexed="64"/>
      </patternFill>
    </fill>
    <fill>
      <patternFill patternType="solid">
        <fgColor rgb="FFFFC000"/>
        <bgColor indexed="64"/>
      </patternFill>
    </fill>
    <fill>
      <patternFill patternType="solid">
        <fgColor rgb="FF00B0F0"/>
        <bgColor indexed="64"/>
      </patternFill>
    </fill>
    <fill>
      <patternFill patternType="solid">
        <fgColor rgb="FF00B050"/>
        <bgColor indexed="64"/>
      </patternFill>
    </fill>
  </fills>
  <borders count="58">
    <border>
      <left/>
      <right/>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999999"/>
      </left>
      <right style="medium">
        <color rgb="FF999999"/>
      </right>
      <top style="medium">
        <color rgb="FF999999"/>
      </top>
      <bottom style="medium">
        <color rgb="FF999999"/>
      </bottom>
      <diagonal/>
    </border>
    <border>
      <left style="medium">
        <color rgb="FF999999"/>
      </left>
      <right/>
      <top style="medium">
        <color rgb="FF999999"/>
      </top>
      <bottom style="medium">
        <color rgb="FF999999"/>
      </bottom>
      <diagonal/>
    </border>
    <border>
      <left style="medium">
        <color rgb="FF999999"/>
      </left>
      <right style="medium">
        <color rgb="FF999999"/>
      </right>
      <top style="medium">
        <color rgb="FF999999"/>
      </top>
      <bottom/>
      <diagonal/>
    </border>
    <border>
      <left style="medium">
        <color rgb="FF999999"/>
      </left>
      <right style="medium">
        <color rgb="FF999999"/>
      </right>
      <top/>
      <bottom style="medium">
        <color rgb="FF999999"/>
      </bottom>
      <diagonal/>
    </border>
    <border>
      <left/>
      <right style="medium">
        <color rgb="FF999999"/>
      </right>
      <top style="medium">
        <color rgb="FF999999"/>
      </top>
      <bottom style="medium">
        <color rgb="FF999999"/>
      </bottom>
      <diagonal/>
    </border>
    <border>
      <left style="medium">
        <color rgb="FF0000FF"/>
      </left>
      <right style="medium">
        <color rgb="FF0000FF"/>
      </right>
      <top style="medium">
        <color rgb="FF0000FF"/>
      </top>
      <bottom style="medium">
        <color rgb="FF0000FF"/>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right style="medium">
        <color rgb="FF0000FF"/>
      </right>
      <top style="medium">
        <color rgb="FF0000FF"/>
      </top>
      <bottom style="medium">
        <color rgb="FF0000FF"/>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auto="1"/>
      </left>
      <right style="medium">
        <color indexed="64"/>
      </right>
      <top style="medium">
        <color rgb="FF0000FF"/>
      </top>
      <bottom/>
      <diagonal/>
    </border>
    <border>
      <left style="medium">
        <color indexed="64"/>
      </left>
      <right style="medium">
        <color rgb="FF0000FF"/>
      </right>
      <top style="medium">
        <color rgb="FF0000FF"/>
      </top>
      <bottom style="medium">
        <color rgb="FF0000FF"/>
      </bottom>
      <diagonal/>
    </border>
    <border>
      <left style="medium">
        <color rgb="FF0000FF"/>
      </left>
      <right/>
      <top style="medium">
        <color rgb="FF0000FF"/>
      </top>
      <bottom style="medium">
        <color rgb="FF0000FF"/>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bottom style="medium">
        <color rgb="FF0000FF"/>
      </bottom>
      <diagonal/>
    </border>
    <border>
      <left/>
      <right/>
      <top style="medium">
        <color indexed="64"/>
      </top>
      <bottom/>
      <diagonal/>
    </border>
    <border>
      <left/>
      <right style="thin">
        <color indexed="64"/>
      </right>
      <top style="medium">
        <color indexed="64"/>
      </top>
      <bottom/>
      <diagonal/>
    </border>
    <border>
      <left style="medium">
        <color auto="1"/>
      </left>
      <right style="medium">
        <color indexed="64"/>
      </right>
      <top style="medium">
        <color indexed="64"/>
      </top>
      <bottom style="medium">
        <color rgb="FF0000FF"/>
      </bottom>
      <diagonal/>
    </border>
    <border>
      <left style="thin">
        <color indexed="64"/>
      </left>
      <right style="medium">
        <color indexed="64"/>
      </right>
      <top/>
      <bottom/>
      <diagonal/>
    </border>
  </borders>
  <cellStyleXfs count="16">
    <xf numFmtId="0" fontId="0" fillId="0" borderId="0">
      <alignment vertical="top"/>
    </xf>
    <xf numFmtId="40" fontId="2" fillId="0" borderId="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3" fillId="0" borderId="0">
      <alignment vertical="top"/>
    </xf>
    <xf numFmtId="0" fontId="3" fillId="0" borderId="0">
      <alignment vertical="top"/>
    </xf>
    <xf numFmtId="0" fontId="15" fillId="0" borderId="0">
      <alignment vertical="top"/>
    </xf>
    <xf numFmtId="0" fontId="2" fillId="0" borderId="0">
      <alignment vertical="top"/>
    </xf>
    <xf numFmtId="0" fontId="2" fillId="0" borderId="0">
      <alignment vertical="top"/>
    </xf>
    <xf numFmtId="0" fontId="3" fillId="0" borderId="0">
      <alignment vertical="top"/>
    </xf>
    <xf numFmtId="167" fontId="2" fillId="0" borderId="0">
      <alignment vertical="top"/>
    </xf>
    <xf numFmtId="0" fontId="3" fillId="0" borderId="0"/>
    <xf numFmtId="9" fontId="3" fillId="0" borderId="0" applyFont="0" applyFill="0" applyBorder="0" applyAlignment="0" applyProtection="0"/>
    <xf numFmtId="178" fontId="3" fillId="0" borderId="0" applyFont="0" applyFill="0" applyBorder="0" applyAlignment="0" applyProtection="0"/>
    <xf numFmtId="0" fontId="34" fillId="0" borderId="0" applyNumberFormat="0" applyFill="0" applyBorder="0" applyAlignment="0" applyProtection="0"/>
    <xf numFmtId="9" fontId="35" fillId="0" borderId="0" applyFont="0" applyFill="0" applyBorder="0" applyAlignment="0" applyProtection="0"/>
  </cellStyleXfs>
  <cellXfs count="651">
    <xf numFmtId="0" fontId="0" fillId="0" borderId="0" xfId="0" applyAlignment="1"/>
    <xf numFmtId="0" fontId="2" fillId="0" borderId="0" xfId="0" applyFont="1" applyAlignment="1"/>
    <xf numFmtId="0" fontId="5" fillId="0" borderId="0" xfId="0" applyFont="1" applyAlignment="1"/>
    <xf numFmtId="0" fontId="5" fillId="0" borderId="0" xfId="0" applyFont="1" applyFill="1" applyAlignment="1"/>
    <xf numFmtId="0" fontId="2" fillId="0" borderId="0" xfId="0" applyFont="1" applyAlignment="1" applyProtection="1"/>
    <xf numFmtId="0" fontId="8" fillId="0" borderId="0" xfId="0" applyFont="1" applyAlignment="1" applyProtection="1"/>
    <xf numFmtId="0" fontId="3" fillId="0" borderId="0" xfId="0" applyFont="1" applyAlignment="1" applyProtection="1"/>
    <xf numFmtId="0" fontId="6" fillId="0" borderId="0" xfId="0" applyFont="1" applyAlignment="1"/>
    <xf numFmtId="0" fontId="2" fillId="0" borderId="0" xfId="0" applyFont="1" applyBorder="1" applyAlignment="1"/>
    <xf numFmtId="0" fontId="2" fillId="0" borderId="0" xfId="0" applyFont="1" applyFill="1" applyBorder="1" applyAlignment="1" applyProtection="1"/>
    <xf numFmtId="7" fontId="2" fillId="0" borderId="0" xfId="0" applyNumberFormat="1" applyFont="1" applyFill="1" applyAlignment="1" applyProtection="1"/>
    <xf numFmtId="167" fontId="2" fillId="0" borderId="0" xfId="10" applyFont="1" applyAlignment="1">
      <alignment vertical="top" wrapText="1"/>
    </xf>
    <xf numFmtId="0" fontId="2" fillId="0" borderId="0" xfId="0" applyFont="1" applyFill="1" applyAlignment="1" applyProtection="1"/>
    <xf numFmtId="0" fontId="8" fillId="0" borderId="0" xfId="0" applyFont="1" applyAlignment="1"/>
    <xf numFmtId="0" fontId="8" fillId="0" borderId="0" xfId="0" applyFont="1" applyFill="1" applyAlignment="1" applyProtection="1"/>
    <xf numFmtId="7" fontId="8" fillId="0" borderId="0" xfId="0" applyNumberFormat="1" applyFont="1" applyFill="1" applyAlignment="1" applyProtection="1"/>
    <xf numFmtId="7" fontId="10" fillId="0" borderId="0" xfId="0" applyNumberFormat="1" applyFont="1" applyFill="1" applyBorder="1" applyAlignment="1" applyProtection="1"/>
    <xf numFmtId="0" fontId="8" fillId="0" borderId="1" xfId="0" applyFont="1" applyBorder="1" applyAlignment="1" applyProtection="1"/>
    <xf numFmtId="0" fontId="2" fillId="0" borderId="0" xfId="0" applyFont="1" applyFill="1" applyAlignment="1"/>
    <xf numFmtId="0" fontId="8" fillId="0" borderId="0" xfId="0" applyFont="1" applyFill="1" applyAlignment="1" applyProtection="1">
      <alignment horizontal="center" vertical="top" wrapText="1"/>
    </xf>
    <xf numFmtId="7" fontId="2" fillId="0" borderId="0" xfId="0" applyNumberFormat="1" applyFont="1" applyAlignment="1"/>
    <xf numFmtId="0" fontId="8" fillId="0" borderId="0" xfId="0" applyFont="1" applyFill="1" applyBorder="1" applyAlignment="1" applyProtection="1"/>
    <xf numFmtId="0" fontId="12" fillId="0" borderId="0" xfId="0" applyFont="1" applyFill="1" applyAlignment="1" applyProtection="1">
      <alignment horizontal="center"/>
    </xf>
    <xf numFmtId="0" fontId="11" fillId="0" borderId="0" xfId="0" applyFont="1" applyAlignment="1">
      <alignment horizontal="right"/>
    </xf>
    <xf numFmtId="0" fontId="12" fillId="0" borderId="0" xfId="0" applyFont="1" applyFill="1" applyBorder="1" applyAlignment="1" applyProtection="1">
      <alignment horizontal="center"/>
    </xf>
    <xf numFmtId="0" fontId="13" fillId="0" borderId="0" xfId="0" applyFont="1" applyFill="1" applyBorder="1" applyAlignment="1" applyProtection="1">
      <alignment horizontal="center"/>
    </xf>
    <xf numFmtId="167" fontId="2" fillId="0" borderId="0" xfId="10" applyFont="1" applyAlignment="1">
      <alignment horizontal="left" vertical="top" wrapText="1"/>
    </xf>
    <xf numFmtId="7" fontId="8" fillId="0" borderId="0" xfId="0" applyNumberFormat="1" applyFont="1" applyFill="1" applyBorder="1" applyAlignment="1" applyProtection="1"/>
    <xf numFmtId="5" fontId="2" fillId="0" borderId="0" xfId="0" applyNumberFormat="1" applyFont="1" applyFill="1" applyBorder="1" applyAlignment="1" applyProtection="1"/>
    <xf numFmtId="164" fontId="2" fillId="0" borderId="0" xfId="0" applyNumberFormat="1" applyFont="1" applyFill="1" applyBorder="1" applyAlignment="1" applyProtection="1"/>
    <xf numFmtId="7" fontId="2" fillId="0" borderId="0" xfId="0" applyNumberFormat="1" applyFont="1" applyFill="1" applyBorder="1" applyAlignment="1" applyProtection="1"/>
    <xf numFmtId="166" fontId="8" fillId="0" borderId="0" xfId="0" applyNumberFormat="1" applyFont="1" applyFill="1" applyBorder="1" applyAlignment="1" applyProtection="1"/>
    <xf numFmtId="0" fontId="3" fillId="0" borderId="0" xfId="0" applyFont="1" applyFill="1" applyBorder="1" applyAlignment="1" applyProtection="1"/>
    <xf numFmtId="0" fontId="8" fillId="0" borderId="0" xfId="0" applyFont="1" applyFill="1" applyBorder="1" applyAlignment="1" applyProtection="1">
      <alignment horizontal="center" vertical="top" wrapText="1"/>
    </xf>
    <xf numFmtId="0" fontId="8" fillId="0" borderId="0" xfId="0" applyFont="1" applyFill="1" applyBorder="1" applyAlignment="1" applyProtection="1">
      <alignment horizontal="center" wrapText="1"/>
    </xf>
    <xf numFmtId="3" fontId="19" fillId="0" borderId="0" xfId="0" applyNumberFormat="1" applyFont="1" applyAlignment="1" applyProtection="1">
      <alignment horizontal="center"/>
      <protection locked="0"/>
    </xf>
    <xf numFmtId="7" fontId="8" fillId="0" borderId="0" xfId="0" applyNumberFormat="1" applyFont="1" applyFill="1" applyBorder="1" applyAlignment="1" applyProtection="1">
      <alignment horizontal="right"/>
    </xf>
    <xf numFmtId="168" fontId="8" fillId="0" borderId="0" xfId="0" applyNumberFormat="1" applyFont="1" applyFill="1" applyBorder="1" applyAlignment="1" applyProtection="1">
      <alignment horizontal="right"/>
    </xf>
    <xf numFmtId="7" fontId="2" fillId="0" borderId="0" xfId="0" applyNumberFormat="1" applyFont="1" applyFill="1" applyBorder="1" applyAlignment="1" applyProtection="1">
      <alignment horizontal="right"/>
    </xf>
    <xf numFmtId="164" fontId="2" fillId="0" borderId="0" xfId="0" applyNumberFormat="1" applyFont="1" applyFill="1" applyBorder="1" applyAlignment="1" applyProtection="1">
      <alignment horizontal="right"/>
    </xf>
    <xf numFmtId="169" fontId="8" fillId="0" borderId="0" xfId="0" applyNumberFormat="1" applyFont="1" applyFill="1" applyBorder="1" applyAlignment="1" applyProtection="1">
      <alignment horizontal="right"/>
    </xf>
    <xf numFmtId="166" fontId="8" fillId="0" borderId="0" xfId="0" applyNumberFormat="1" applyFont="1" applyFill="1" applyBorder="1" applyAlignment="1" applyProtection="1">
      <alignment horizontal="right"/>
    </xf>
    <xf numFmtId="0" fontId="2" fillId="0" borderId="0" xfId="0" applyFont="1" applyFill="1" applyBorder="1" applyAlignment="1" applyProtection="1">
      <alignment horizontal="right"/>
    </xf>
    <xf numFmtId="1" fontId="2" fillId="0" borderId="0" xfId="0" applyNumberFormat="1" applyFont="1" applyFill="1" applyBorder="1" applyAlignment="1" applyProtection="1">
      <alignment horizontal="right"/>
    </xf>
    <xf numFmtId="1" fontId="8" fillId="0" borderId="0" xfId="0" applyNumberFormat="1" applyFont="1" applyFill="1" applyBorder="1" applyAlignment="1" applyProtection="1">
      <alignment horizontal="right"/>
    </xf>
    <xf numFmtId="167" fontId="2" fillId="0" borderId="0" xfId="10" applyFont="1" applyFill="1" applyBorder="1" applyAlignment="1">
      <alignment horizontal="left" vertical="top" wrapText="1"/>
    </xf>
    <xf numFmtId="0" fontId="8" fillId="0" borderId="0" xfId="0" applyFont="1" applyFill="1" applyBorder="1" applyAlignment="1"/>
    <xf numFmtId="0" fontId="2" fillId="0" borderId="0" xfId="0" applyFont="1" applyFill="1" applyBorder="1" applyAlignment="1"/>
    <xf numFmtId="7" fontId="2" fillId="0" borderId="0" xfId="0" applyNumberFormat="1" applyFont="1" applyFill="1" applyBorder="1" applyAlignment="1"/>
    <xf numFmtId="170" fontId="2" fillId="0" borderId="0" xfId="0" applyNumberFormat="1" applyFont="1" applyFill="1" applyBorder="1" applyAlignment="1" applyProtection="1"/>
    <xf numFmtId="7" fontId="10" fillId="0" borderId="0" xfId="0" applyNumberFormat="1" applyFont="1" applyFill="1" applyBorder="1" applyAlignment="1"/>
    <xf numFmtId="170" fontId="8" fillId="0" borderId="0" xfId="0" applyNumberFormat="1" applyFont="1" applyFill="1" applyBorder="1" applyAlignment="1" applyProtection="1"/>
    <xf numFmtId="7" fontId="8" fillId="0" borderId="0" xfId="0" applyNumberFormat="1" applyFont="1" applyFill="1" applyBorder="1" applyAlignment="1"/>
    <xf numFmtId="171" fontId="2" fillId="0" borderId="0" xfId="0" applyNumberFormat="1" applyFont="1" applyFill="1" applyBorder="1" applyAlignment="1" applyProtection="1">
      <alignment horizontal="right"/>
    </xf>
    <xf numFmtId="171" fontId="8" fillId="0" borderId="0" xfId="0" applyNumberFormat="1" applyFont="1" applyFill="1" applyBorder="1" applyAlignment="1" applyProtection="1">
      <alignment horizontal="right"/>
    </xf>
    <xf numFmtId="170" fontId="8" fillId="0" borderId="0" xfId="0" applyNumberFormat="1" applyFont="1" applyFill="1" applyBorder="1" applyAlignment="1" applyProtection="1">
      <alignment horizontal="right"/>
    </xf>
    <xf numFmtId="7" fontId="2" fillId="0" borderId="0" xfId="0" applyNumberFormat="1" applyFont="1" applyFill="1" applyBorder="1" applyAlignment="1" applyProtection="1">
      <alignment horizontal="center"/>
    </xf>
    <xf numFmtId="0" fontId="8" fillId="0" borderId="1" xfId="0" applyFont="1" applyFill="1" applyBorder="1" applyAlignment="1" applyProtection="1"/>
    <xf numFmtId="166" fontId="8" fillId="0" borderId="1" xfId="0" applyNumberFormat="1" applyFont="1" applyFill="1" applyBorder="1" applyAlignment="1" applyProtection="1"/>
    <xf numFmtId="1" fontId="8" fillId="0" borderId="1" xfId="0" applyNumberFormat="1" applyFont="1" applyFill="1" applyBorder="1" applyAlignment="1" applyProtection="1">
      <alignment horizontal="right"/>
    </xf>
    <xf numFmtId="166" fontId="8" fillId="0" borderId="1" xfId="0" applyNumberFormat="1" applyFont="1" applyFill="1" applyBorder="1" applyAlignment="1" applyProtection="1">
      <alignment horizontal="right"/>
    </xf>
    <xf numFmtId="7" fontId="19" fillId="0" borderId="0" xfId="0" applyNumberFormat="1" applyFont="1" applyFill="1" applyBorder="1" applyAlignment="1" applyProtection="1">
      <protection locked="0"/>
    </xf>
    <xf numFmtId="2" fontId="8" fillId="0" borderId="0" xfId="0" applyNumberFormat="1" applyFont="1" applyFill="1" applyBorder="1" applyAlignment="1" applyProtection="1"/>
    <xf numFmtId="0" fontId="11" fillId="0" borderId="0" xfId="0" applyFont="1" applyFill="1" applyAlignment="1" applyProtection="1"/>
    <xf numFmtId="0" fontId="3" fillId="0" borderId="0" xfId="0" applyFont="1" applyAlignment="1"/>
    <xf numFmtId="166" fontId="3" fillId="0" borderId="0" xfId="0" applyNumberFormat="1" applyFont="1" applyFill="1" applyBorder="1" applyAlignment="1" applyProtection="1"/>
    <xf numFmtId="172" fontId="2" fillId="0" borderId="0" xfId="0" applyNumberFormat="1" applyFont="1" applyAlignment="1"/>
    <xf numFmtId="0" fontId="11" fillId="0" borderId="0" xfId="0" applyFont="1" applyFill="1" applyAlignment="1">
      <alignment horizontal="right"/>
    </xf>
    <xf numFmtId="0" fontId="11" fillId="0" borderId="0" xfId="0" applyFont="1" applyFill="1" applyAlignment="1"/>
    <xf numFmtId="0" fontId="3" fillId="0" borderId="0" xfId="0" applyFont="1" applyFill="1" applyAlignment="1"/>
    <xf numFmtId="0" fontId="6" fillId="0" borderId="0" xfId="0" applyFont="1" applyFill="1" applyAlignment="1"/>
    <xf numFmtId="0" fontId="11" fillId="0" borderId="0" xfId="0" applyFont="1" applyFill="1" applyAlignment="1" applyProtection="1">
      <alignment horizontal="right"/>
    </xf>
    <xf numFmtId="0" fontId="8" fillId="0" borderId="0" xfId="0" applyFont="1" applyFill="1" applyAlignment="1"/>
    <xf numFmtId="167" fontId="8" fillId="0" borderId="0" xfId="0" applyNumberFormat="1" applyFont="1" applyFill="1" applyBorder="1" applyAlignment="1" applyProtection="1"/>
    <xf numFmtId="0" fontId="21" fillId="0" borderId="0" xfId="0" applyFont="1" applyFill="1" applyAlignment="1" applyProtection="1"/>
    <xf numFmtId="0" fontId="22" fillId="0" borderId="0" xfId="0" applyFont="1" applyFill="1" applyBorder="1" applyAlignment="1" applyProtection="1">
      <alignment horizontal="center"/>
    </xf>
    <xf numFmtId="0" fontId="22" fillId="0" borderId="0" xfId="0" applyFont="1" applyFill="1" applyAlignment="1" applyProtection="1">
      <alignment horizontal="center"/>
    </xf>
    <xf numFmtId="0" fontId="21" fillId="0" borderId="0" xfId="0" applyFont="1" applyFill="1" applyAlignment="1"/>
    <xf numFmtId="0" fontId="0" fillId="0" borderId="0" xfId="0" applyFill="1" applyAlignment="1" applyProtection="1"/>
    <xf numFmtId="0" fontId="0" fillId="0" borderId="0" xfId="0" applyFill="1" applyAlignment="1"/>
    <xf numFmtId="167" fontId="24" fillId="0" borderId="0" xfId="2" applyNumberFormat="1" applyFont="1" applyFill="1" applyProtection="1">
      <alignment vertical="top"/>
    </xf>
    <xf numFmtId="0" fontId="26" fillId="0" borderId="0" xfId="0" applyFont="1" applyBorder="1" applyAlignment="1" applyProtection="1"/>
    <xf numFmtId="0" fontId="25" fillId="0" borderId="0" xfId="0" applyFont="1" applyBorder="1" applyAlignment="1" applyProtection="1">
      <alignment horizontal="right"/>
    </xf>
    <xf numFmtId="0" fontId="26" fillId="0" borderId="2" xfId="0" applyFont="1" applyFill="1" applyBorder="1" applyAlignment="1" applyProtection="1">
      <alignment horizontal="right"/>
    </xf>
    <xf numFmtId="0" fontId="26" fillId="0" borderId="6" xfId="0" applyFont="1" applyBorder="1" applyAlignment="1" applyProtection="1">
      <alignment horizontal="left" vertical="center"/>
    </xf>
    <xf numFmtId="0" fontId="25" fillId="0" borderId="6" xfId="0" applyFont="1" applyBorder="1" applyAlignment="1" applyProtection="1"/>
    <xf numFmtId="0" fontId="0" fillId="0" borderId="6" xfId="0" applyBorder="1" applyAlignment="1" applyProtection="1"/>
    <xf numFmtId="0" fontId="26" fillId="0" borderId="0" xfId="0" applyFont="1" applyBorder="1" applyAlignment="1" applyProtection="1">
      <alignment horizontal="right"/>
    </xf>
    <xf numFmtId="0" fontId="0" fillId="0" borderId="0" xfId="0" applyBorder="1" applyAlignment="1" applyProtection="1">
      <alignment horizontal="right"/>
    </xf>
    <xf numFmtId="0" fontId="28" fillId="0" borderId="0" xfId="0" applyFont="1" applyAlignment="1">
      <alignment horizontal="left"/>
    </xf>
    <xf numFmtId="0" fontId="29" fillId="0" borderId="29" xfId="0" applyFont="1" applyBorder="1" applyAlignment="1">
      <alignment horizontal="center" wrapText="1"/>
    </xf>
    <xf numFmtId="0" fontId="30" fillId="0" borderId="29" xfId="0" applyFont="1" applyBorder="1" applyAlignment="1"/>
    <xf numFmtId="0" fontId="20" fillId="0" borderId="29" xfId="0" applyFont="1" applyBorder="1" applyAlignment="1">
      <alignment horizontal="center"/>
    </xf>
    <xf numFmtId="0" fontId="29" fillId="0" borderId="0" xfId="0" applyFont="1" applyFill="1" applyBorder="1" applyAlignment="1">
      <alignment horizontal="left"/>
    </xf>
    <xf numFmtId="0" fontId="30" fillId="2" borderId="30" xfId="0" applyFont="1" applyFill="1" applyBorder="1" applyAlignment="1"/>
    <xf numFmtId="0" fontId="30" fillId="2" borderId="29" xfId="0" applyFont="1" applyFill="1" applyBorder="1" applyAlignment="1"/>
    <xf numFmtId="2" fontId="20" fillId="2" borderId="29" xfId="0" applyNumberFormat="1" applyFont="1" applyFill="1" applyBorder="1" applyAlignment="1">
      <alignment horizontal="center"/>
    </xf>
    <xf numFmtId="0" fontId="0" fillId="2" borderId="0" xfId="0" applyFill="1" applyAlignment="1"/>
    <xf numFmtId="9" fontId="20" fillId="0" borderId="29" xfId="0" applyNumberFormat="1" applyFont="1" applyBorder="1" applyAlignment="1">
      <alignment horizontal="center"/>
    </xf>
    <xf numFmtId="9" fontId="12" fillId="0" borderId="29" xfId="0" applyNumberFormat="1" applyFont="1" applyBorder="1" applyAlignment="1">
      <alignment horizontal="center"/>
    </xf>
    <xf numFmtId="0" fontId="12" fillId="0" borderId="29" xfId="0" applyNumberFormat="1" applyFont="1" applyBorder="1" applyAlignment="1">
      <alignment horizontal="center"/>
    </xf>
    <xf numFmtId="0" fontId="30" fillId="0" borderId="29" xfId="0" applyFont="1" applyBorder="1" applyAlignment="1">
      <alignment vertical="center" wrapText="1"/>
    </xf>
    <xf numFmtId="0" fontId="30" fillId="0" borderId="29" xfId="0" applyFont="1" applyBorder="1" applyAlignment="1">
      <alignment wrapText="1"/>
    </xf>
    <xf numFmtId="165" fontId="20" fillId="0" borderId="29" xfId="0" applyNumberFormat="1" applyFont="1" applyBorder="1" applyAlignment="1">
      <alignment horizontal="center"/>
    </xf>
    <xf numFmtId="3" fontId="30" fillId="3" borderId="29" xfId="0" applyNumberFormat="1" applyFont="1" applyFill="1" applyBorder="1" applyAlignment="1">
      <alignment horizontal="center"/>
    </xf>
    <xf numFmtId="0" fontId="0" fillId="4" borderId="0" xfId="0" applyFill="1" applyAlignment="1"/>
    <xf numFmtId="4" fontId="0" fillId="0" borderId="0" xfId="0" applyNumberFormat="1" applyAlignment="1"/>
    <xf numFmtId="3" fontId="30" fillId="3" borderId="31" xfId="0" applyNumberFormat="1" applyFont="1" applyFill="1" applyBorder="1" applyAlignment="1">
      <alignment horizontal="center"/>
    </xf>
    <xf numFmtId="0" fontId="30" fillId="0" borderId="30" xfId="0" applyFont="1" applyBorder="1" applyAlignment="1"/>
    <xf numFmtId="3" fontId="31" fillId="3" borderId="3" xfId="0" applyNumberFormat="1" applyFont="1" applyFill="1" applyBorder="1" applyAlignment="1">
      <alignment horizontal="center"/>
    </xf>
    <xf numFmtId="3" fontId="30" fillId="3" borderId="32" xfId="0" applyNumberFormat="1" applyFont="1" applyFill="1" applyBorder="1" applyAlignment="1">
      <alignment horizontal="center"/>
    </xf>
    <xf numFmtId="0" fontId="30" fillId="0" borderId="30" xfId="0" applyFont="1" applyFill="1" applyBorder="1" applyAlignment="1"/>
    <xf numFmtId="0" fontId="30" fillId="0" borderId="33" xfId="0" applyFont="1" applyFill="1" applyBorder="1" applyAlignment="1"/>
    <xf numFmtId="3" fontId="30" fillId="0" borderId="29" xfId="0" applyNumberFormat="1" applyFont="1" applyFill="1" applyBorder="1" applyAlignment="1">
      <alignment horizontal="center"/>
    </xf>
    <xf numFmtId="0" fontId="30" fillId="0" borderId="30" xfId="0" applyFont="1" applyBorder="1" applyAlignment="1">
      <alignment horizontal="left"/>
    </xf>
    <xf numFmtId="0" fontId="29" fillId="0" borderId="33" xfId="0" applyFont="1" applyBorder="1" applyAlignment="1">
      <alignment horizontal="center"/>
    </xf>
    <xf numFmtId="167" fontId="20" fillId="0" borderId="29" xfId="0" applyNumberFormat="1" applyFont="1" applyBorder="1" applyAlignment="1">
      <alignment horizontal="center"/>
    </xf>
    <xf numFmtId="167" fontId="12" fillId="0" borderId="29" xfId="0" applyNumberFormat="1" applyFont="1" applyBorder="1" applyAlignment="1">
      <alignment horizontal="center"/>
    </xf>
    <xf numFmtId="167" fontId="20" fillId="2" borderId="29" xfId="0" applyNumberFormat="1" applyFont="1" applyFill="1" applyBorder="1" applyAlignment="1">
      <alignment horizontal="center"/>
    </xf>
    <xf numFmtId="6" fontId="29" fillId="0" borderId="29" xfId="0" applyNumberFormat="1" applyFont="1" applyBorder="1" applyAlignment="1">
      <alignment horizontal="center"/>
    </xf>
    <xf numFmtId="8" fontId="30" fillId="0" borderId="29" xfId="0" applyNumberFormat="1" applyFont="1" applyBorder="1" applyAlignment="1">
      <alignment horizontal="center"/>
    </xf>
    <xf numFmtId="8" fontId="30" fillId="0" borderId="29" xfId="0" applyNumberFormat="1" applyFont="1" applyBorder="1" applyAlignment="1">
      <alignment horizontal="center" wrapText="1"/>
    </xf>
    <xf numFmtId="175" fontId="30" fillId="0" borderId="29" xfId="0" applyNumberFormat="1" applyFont="1" applyBorder="1" applyAlignment="1">
      <alignment horizontal="center" wrapText="1"/>
    </xf>
    <xf numFmtId="0" fontId="30" fillId="0" borderId="30" xfId="0" applyFont="1" applyBorder="1" applyAlignment="1">
      <alignment wrapText="1"/>
    </xf>
    <xf numFmtId="0" fontId="30" fillId="0" borderId="33" xfId="0" applyFont="1" applyBorder="1" applyAlignment="1">
      <alignment wrapText="1"/>
    </xf>
    <xf numFmtId="8" fontId="30" fillId="0" borderId="29" xfId="0" applyNumberFormat="1" applyFont="1" applyFill="1" applyBorder="1" applyAlignment="1">
      <alignment horizontal="center"/>
    </xf>
    <xf numFmtId="176" fontId="30" fillId="0" borderId="29" xfId="0" applyNumberFormat="1" applyFont="1" applyFill="1" applyBorder="1" applyAlignment="1">
      <alignment horizontal="center"/>
    </xf>
    <xf numFmtId="0" fontId="30" fillId="2" borderId="29" xfId="0" applyFont="1" applyFill="1" applyBorder="1" applyAlignment="1">
      <alignment wrapText="1"/>
    </xf>
    <xf numFmtId="0" fontId="8" fillId="0" borderId="0" xfId="0" applyFont="1" applyFill="1" applyBorder="1" applyAlignment="1" applyProtection="1">
      <alignment horizontal="center"/>
    </xf>
    <xf numFmtId="0" fontId="13" fillId="0" borderId="0" xfId="0" applyFont="1" applyFill="1" applyBorder="1" applyAlignment="1" applyProtection="1">
      <alignment horizontal="center" wrapText="1"/>
    </xf>
    <xf numFmtId="0" fontId="9" fillId="0" borderId="0" xfId="0" applyFont="1" applyFill="1" applyBorder="1" applyAlignment="1" applyProtection="1">
      <alignment horizontal="right"/>
    </xf>
    <xf numFmtId="0" fontId="2" fillId="0" borderId="2" xfId="0" applyFont="1" applyFill="1" applyBorder="1" applyAlignment="1" applyProtection="1"/>
    <xf numFmtId="0" fontId="3" fillId="0" borderId="0" xfId="0" applyFont="1" applyAlignment="1" applyProtection="1">
      <alignment horizontal="left" wrapText="1"/>
    </xf>
    <xf numFmtId="177" fontId="8" fillId="0" borderId="0" xfId="0" applyNumberFormat="1" applyFont="1" applyFill="1" applyBorder="1" applyAlignment="1" applyProtection="1">
      <alignment horizontal="right"/>
    </xf>
    <xf numFmtId="5" fontId="2" fillId="0" borderId="2" xfId="0" applyNumberFormat="1" applyFont="1" applyFill="1" applyBorder="1" applyAlignment="1" applyProtection="1"/>
    <xf numFmtId="7" fontId="2" fillId="0" borderId="2" xfId="0" applyNumberFormat="1" applyFont="1" applyFill="1" applyBorder="1" applyAlignment="1" applyProtection="1">
      <alignment horizontal="right"/>
    </xf>
    <xf numFmtId="0" fontId="2" fillId="0" borderId="2" xfId="0" applyFont="1" applyBorder="1" applyAlignment="1"/>
    <xf numFmtId="7" fontId="2" fillId="0" borderId="2" xfId="0" applyNumberFormat="1" applyFont="1" applyFill="1" applyBorder="1" applyAlignment="1" applyProtection="1"/>
    <xf numFmtId="164" fontId="2" fillId="0" borderId="2" xfId="0" applyNumberFormat="1" applyFont="1" applyFill="1" applyBorder="1" applyAlignment="1" applyProtection="1"/>
    <xf numFmtId="0" fontId="8" fillId="0" borderId="2" xfId="0" applyFont="1" applyFill="1" applyBorder="1" applyAlignment="1" applyProtection="1"/>
    <xf numFmtId="167" fontId="2" fillId="0" borderId="2" xfId="0" applyNumberFormat="1" applyFont="1" applyFill="1" applyBorder="1" applyAlignment="1" applyProtection="1"/>
    <xf numFmtId="0" fontId="2" fillId="0" borderId="2" xfId="0" applyFont="1" applyFill="1" applyBorder="1" applyAlignment="1"/>
    <xf numFmtId="171" fontId="8" fillId="0" borderId="2" xfId="0" applyNumberFormat="1" applyFont="1" applyFill="1" applyBorder="1" applyAlignment="1" applyProtection="1">
      <alignment horizontal="right"/>
    </xf>
    <xf numFmtId="1" fontId="8" fillId="0" borderId="2" xfId="0" applyNumberFormat="1" applyFont="1" applyFill="1" applyBorder="1" applyAlignment="1" applyProtection="1">
      <alignment horizontal="right"/>
    </xf>
    <xf numFmtId="166" fontId="8" fillId="0" borderId="2" xfId="0" applyNumberFormat="1" applyFont="1" applyFill="1" applyBorder="1" applyAlignment="1" applyProtection="1"/>
    <xf numFmtId="0" fontId="8" fillId="2" borderId="0" xfId="0" applyFont="1" applyFill="1" applyAlignment="1" applyProtection="1"/>
    <xf numFmtId="0" fontId="8" fillId="2" borderId="0" xfId="0" applyFont="1" applyFill="1" applyBorder="1" applyAlignment="1"/>
    <xf numFmtId="0" fontId="2" fillId="2" borderId="0" xfId="0" applyFont="1" applyFill="1" applyBorder="1" applyAlignment="1"/>
    <xf numFmtId="0" fontId="17" fillId="0" borderId="0" xfId="0" applyNumberFormat="1" applyFont="1" applyFill="1" applyBorder="1" applyAlignment="1">
      <alignment horizontal="left"/>
    </xf>
    <xf numFmtId="0" fontId="2" fillId="2" borderId="0" xfId="0" applyFont="1" applyFill="1" applyAlignment="1"/>
    <xf numFmtId="0" fontId="5" fillId="2" borderId="0" xfId="0" applyFont="1" applyFill="1" applyAlignment="1"/>
    <xf numFmtId="0" fontId="2" fillId="0" borderId="9" xfId="0" applyFont="1" applyBorder="1" applyAlignment="1">
      <alignment horizontal="center"/>
    </xf>
    <xf numFmtId="0" fontId="2" fillId="0" borderId="13" xfId="0" applyFont="1" applyBorder="1" applyAlignment="1">
      <alignment horizontal="center" wrapText="1"/>
    </xf>
    <xf numFmtId="0" fontId="2" fillId="0" borderId="15" xfId="0" applyFont="1" applyBorder="1" applyAlignment="1">
      <alignment horizontal="center" wrapText="1"/>
    </xf>
    <xf numFmtId="7" fontId="8" fillId="0" borderId="8" xfId="0" applyNumberFormat="1" applyFont="1" applyFill="1" applyBorder="1" applyAlignment="1" applyProtection="1">
      <protection locked="0"/>
    </xf>
    <xf numFmtId="0" fontId="2" fillId="0" borderId="4" xfId="0" applyFont="1" applyBorder="1" applyAlignment="1"/>
    <xf numFmtId="0" fontId="2" fillId="0" borderId="14" xfId="0" applyFont="1" applyBorder="1" applyAlignment="1"/>
    <xf numFmtId="5" fontId="2" fillId="0" borderId="14" xfId="0" applyNumberFormat="1" applyFont="1" applyBorder="1" applyAlignment="1">
      <alignment horizontal="center"/>
    </xf>
    <xf numFmtId="0" fontId="2" fillId="0" borderId="3" xfId="0" applyFont="1" applyBorder="1" applyAlignment="1">
      <alignment horizontal="center" wrapText="1"/>
    </xf>
    <xf numFmtId="0" fontId="2" fillId="0" borderId="3" xfId="0" applyFont="1" applyBorder="1" applyAlignment="1"/>
    <xf numFmtId="0" fontId="2" fillId="0" borderId="5" xfId="0" applyFont="1" applyBorder="1" applyAlignment="1"/>
    <xf numFmtId="2" fontId="2" fillId="0" borderId="0" xfId="0" applyNumberFormat="1" applyFont="1" applyAlignment="1">
      <alignment horizontal="center"/>
    </xf>
    <xf numFmtId="0" fontId="2" fillId="0" borderId="0" xfId="0" applyFont="1" applyBorder="1" applyAlignment="1">
      <alignment horizontal="left" wrapText="1"/>
    </xf>
    <xf numFmtId="7" fontId="2" fillId="0" borderId="0" xfId="0" applyNumberFormat="1" applyFont="1" applyAlignment="1">
      <alignment horizontal="center"/>
    </xf>
    <xf numFmtId="165" fontId="2" fillId="0" borderId="0" xfId="0" applyNumberFormat="1" applyFont="1" applyAlignment="1">
      <alignment horizontal="center"/>
    </xf>
    <xf numFmtId="167" fontId="2" fillId="0" borderId="0" xfId="0" applyNumberFormat="1" applyFont="1" applyAlignment="1"/>
    <xf numFmtId="9" fontId="2" fillId="0" borderId="0" xfId="0" applyNumberFormat="1" applyFont="1" applyAlignment="1"/>
    <xf numFmtId="167" fontId="2" fillId="0" borderId="0" xfId="0" applyNumberFormat="1" applyFont="1" applyFill="1" applyAlignment="1"/>
    <xf numFmtId="2" fontId="8" fillId="0" borderId="0" xfId="0" applyNumberFormat="1" applyFont="1" applyAlignment="1"/>
    <xf numFmtId="5" fontId="7" fillId="0" borderId="0" xfId="0" applyNumberFormat="1" applyFont="1" applyFill="1" applyBorder="1" applyAlignment="1" applyProtection="1">
      <alignment horizontal="center"/>
      <protection locked="0"/>
    </xf>
    <xf numFmtId="0" fontId="2" fillId="0" borderId="2" xfId="0" applyFont="1" applyBorder="1" applyAlignment="1">
      <alignment horizontal="center" wrapText="1"/>
    </xf>
    <xf numFmtId="9" fontId="2" fillId="0" borderId="8" xfId="0" applyNumberFormat="1" applyFont="1" applyBorder="1" applyAlignment="1"/>
    <xf numFmtId="0" fontId="2" fillId="0" borderId="9" xfId="0" applyNumberFormat="1" applyFont="1" applyFill="1" applyBorder="1" applyAlignment="1" applyProtection="1">
      <alignment horizontal="center"/>
      <protection locked="0"/>
    </xf>
    <xf numFmtId="0" fontId="2" fillId="0" borderId="9" xfId="0" applyNumberFormat="1" applyFont="1" applyBorder="1" applyAlignment="1">
      <alignment horizontal="center"/>
    </xf>
    <xf numFmtId="9" fontId="8" fillId="2" borderId="0" xfId="0" applyNumberFormat="1" applyFont="1" applyFill="1" applyBorder="1" applyAlignment="1"/>
    <xf numFmtId="167" fontId="8" fillId="0" borderId="8" xfId="0" applyNumberFormat="1" applyFont="1" applyFill="1" applyBorder="1" applyAlignment="1" applyProtection="1"/>
    <xf numFmtId="9" fontId="2" fillId="2" borderId="0" xfId="0" applyNumberFormat="1" applyFont="1" applyFill="1" applyAlignment="1" applyProtection="1">
      <alignment horizontal="left"/>
    </xf>
    <xf numFmtId="164" fontId="8" fillId="0" borderId="0" xfId="0" applyNumberFormat="1" applyFont="1" applyFill="1" applyBorder="1" applyAlignment="1" applyProtection="1"/>
    <xf numFmtId="164" fontId="8" fillId="0" borderId="0" xfId="0" applyNumberFormat="1" applyFont="1" applyFill="1" applyBorder="1" applyAlignment="1" applyProtection="1">
      <alignment horizontal="right"/>
    </xf>
    <xf numFmtId="0" fontId="2" fillId="4" borderId="9" xfId="0" applyFont="1" applyFill="1" applyBorder="1" applyAlignment="1">
      <alignment horizontal="center"/>
    </xf>
    <xf numFmtId="0" fontId="2" fillId="4" borderId="0" xfId="0" applyFont="1" applyFill="1" applyBorder="1" applyAlignment="1"/>
    <xf numFmtId="9" fontId="2" fillId="4" borderId="8" xfId="0" applyNumberFormat="1" applyFont="1" applyFill="1" applyBorder="1" applyAlignment="1"/>
    <xf numFmtId="0" fontId="2" fillId="4" borderId="13" xfId="0" applyFont="1" applyFill="1" applyBorder="1" applyAlignment="1">
      <alignment horizontal="center" wrapText="1"/>
    </xf>
    <xf numFmtId="0" fontId="2" fillId="4" borderId="2" xfId="0" applyFont="1" applyFill="1" applyBorder="1" applyAlignment="1">
      <alignment horizontal="center" wrapText="1"/>
    </xf>
    <xf numFmtId="0" fontId="2" fillId="4" borderId="15" xfId="0" applyFont="1" applyFill="1" applyBorder="1" applyAlignment="1">
      <alignment horizontal="center" wrapText="1"/>
    </xf>
    <xf numFmtId="0" fontId="2" fillId="4" borderId="9" xfId="0" applyNumberFormat="1" applyFont="1" applyFill="1" applyBorder="1" applyAlignment="1" applyProtection="1">
      <alignment horizontal="center"/>
      <protection locked="0"/>
    </xf>
    <xf numFmtId="0" fontId="2" fillId="4" borderId="9" xfId="0" applyNumberFormat="1" applyFont="1" applyFill="1" applyBorder="1" applyAlignment="1">
      <alignment horizontal="center"/>
    </xf>
    <xf numFmtId="0" fontId="2" fillId="4" borderId="13" xfId="0" applyNumberFormat="1" applyFont="1" applyFill="1" applyBorder="1" applyAlignment="1">
      <alignment horizontal="center"/>
    </xf>
    <xf numFmtId="166" fontId="8" fillId="2" borderId="0" xfId="0" applyNumberFormat="1" applyFont="1" applyFill="1" applyBorder="1" applyAlignment="1" applyProtection="1"/>
    <xf numFmtId="1" fontId="8" fillId="2" borderId="0" xfId="0" applyNumberFormat="1" applyFont="1" applyFill="1" applyBorder="1" applyAlignment="1" applyProtection="1">
      <alignment horizontal="right"/>
    </xf>
    <xf numFmtId="1" fontId="8" fillId="2" borderId="0" xfId="0" applyNumberFormat="1" applyFont="1" applyFill="1" applyBorder="1" applyAlignment="1" applyProtection="1"/>
    <xf numFmtId="1" fontId="8" fillId="2" borderId="12" xfId="0" applyNumberFormat="1" applyFont="1" applyFill="1" applyBorder="1" applyAlignment="1" applyProtection="1">
      <alignment horizontal="center" wrapText="1"/>
    </xf>
    <xf numFmtId="0" fontId="12" fillId="2" borderId="0" xfId="0" applyFont="1" applyFill="1" applyAlignment="1" applyProtection="1"/>
    <xf numFmtId="172" fontId="8" fillId="2" borderId="0" xfId="0" applyNumberFormat="1" applyFont="1" applyFill="1" applyBorder="1" applyAlignment="1" applyProtection="1">
      <alignment horizontal="right"/>
    </xf>
    <xf numFmtId="7" fontId="8" fillId="0" borderId="2" xfId="0" applyNumberFormat="1" applyFont="1" applyFill="1" applyBorder="1" applyAlignment="1" applyProtection="1"/>
    <xf numFmtId="7" fontId="8" fillId="0" borderId="2" xfId="0" applyNumberFormat="1" applyFont="1" applyFill="1" applyBorder="1" applyAlignment="1"/>
    <xf numFmtId="174" fontId="8" fillId="0" borderId="0" xfId="0" applyNumberFormat="1" applyFont="1" applyFill="1" applyBorder="1" applyAlignment="1" applyProtection="1">
      <alignment horizontal="right"/>
    </xf>
    <xf numFmtId="0" fontId="12" fillId="0" borderId="0" xfId="0" applyFont="1" applyFill="1" applyAlignment="1" applyProtection="1"/>
    <xf numFmtId="0" fontId="9" fillId="0" borderId="0" xfId="0" applyFont="1" applyFill="1" applyBorder="1" applyAlignment="1" applyProtection="1">
      <alignment horizontal="center"/>
    </xf>
    <xf numFmtId="0" fontId="2" fillId="0" borderId="0" xfId="0" applyFont="1" applyFill="1" applyAlignment="1" applyProtection="1">
      <alignment horizontal="right"/>
    </xf>
    <xf numFmtId="0" fontId="2" fillId="0" borderId="0" xfId="0" applyFont="1" applyFill="1" applyAlignment="1">
      <alignment horizontal="right"/>
    </xf>
    <xf numFmtId="0" fontId="9" fillId="0" borderId="0" xfId="0" applyFont="1" applyFill="1" applyBorder="1" applyAlignment="1" applyProtection="1">
      <alignment horizontal="center" wrapText="1"/>
    </xf>
    <xf numFmtId="0" fontId="12" fillId="0" borderId="0" xfId="0" applyFont="1" applyFill="1" applyBorder="1" applyAlignment="1" applyProtection="1">
      <alignment horizontal="left"/>
    </xf>
    <xf numFmtId="0" fontId="2" fillId="0" borderId="5" xfId="0" applyNumberFormat="1" applyFont="1" applyFill="1" applyBorder="1" applyAlignment="1" applyProtection="1">
      <alignment horizontal="center"/>
      <protection locked="0"/>
    </xf>
    <xf numFmtId="0" fontId="2" fillId="4" borderId="5" xfId="0" applyNumberFormat="1" applyFont="1" applyFill="1" applyBorder="1" applyAlignment="1" applyProtection="1">
      <alignment horizontal="center"/>
      <protection locked="0"/>
    </xf>
    <xf numFmtId="0" fontId="2" fillId="2" borderId="13" xfId="0" applyFont="1" applyFill="1" applyBorder="1" applyAlignment="1">
      <alignment horizontal="center"/>
    </xf>
    <xf numFmtId="171" fontId="2" fillId="3" borderId="0" xfId="0" applyNumberFormat="1" applyFont="1" applyFill="1" applyAlignment="1">
      <alignment horizontal="center"/>
    </xf>
    <xf numFmtId="0" fontId="2" fillId="0" borderId="9" xfId="0" applyFont="1" applyBorder="1" applyAlignment="1"/>
    <xf numFmtId="0" fontId="8" fillId="0" borderId="13" xfId="0" applyFont="1" applyBorder="1" applyAlignment="1">
      <alignment horizontal="center"/>
    </xf>
    <xf numFmtId="0" fontId="2" fillId="0" borderId="13" xfId="0" applyFont="1" applyBorder="1" applyAlignment="1">
      <alignment horizontal="center"/>
    </xf>
    <xf numFmtId="0" fontId="2" fillId="0" borderId="16" xfId="0" applyFont="1" applyBorder="1" applyAlignment="1">
      <alignment horizontal="center" wrapText="1"/>
    </xf>
    <xf numFmtId="0" fontId="2" fillId="0" borderId="17" xfId="0" applyFont="1" applyBorder="1" applyAlignment="1">
      <alignment horizontal="center" wrapText="1"/>
    </xf>
    <xf numFmtId="7" fontId="8" fillId="0" borderId="19" xfId="0" applyNumberFormat="1" applyFont="1" applyFill="1" applyBorder="1" applyAlignment="1" applyProtection="1">
      <protection locked="0"/>
    </xf>
    <xf numFmtId="7" fontId="8" fillId="0" borderId="21" xfId="0" applyNumberFormat="1" applyFont="1" applyFill="1" applyBorder="1" applyAlignment="1" applyProtection="1">
      <protection locked="0"/>
    </xf>
    <xf numFmtId="7" fontId="8" fillId="0" borderId="23" xfId="0" applyNumberFormat="1" applyFont="1" applyFill="1" applyBorder="1" applyAlignment="1" applyProtection="1">
      <protection locked="0"/>
    </xf>
    <xf numFmtId="0" fontId="8" fillId="0" borderId="18" xfId="0" applyFont="1" applyFill="1" applyBorder="1" applyAlignment="1"/>
    <xf numFmtId="0" fontId="8" fillId="0" borderId="20" xfId="0" applyFont="1" applyFill="1" applyBorder="1" applyAlignment="1"/>
    <xf numFmtId="7" fontId="2" fillId="3" borderId="0" xfId="0" applyNumberFormat="1" applyFont="1" applyFill="1" applyAlignment="1">
      <alignment horizontal="center"/>
    </xf>
    <xf numFmtId="3" fontId="8" fillId="0" borderId="0" xfId="0" applyNumberFormat="1" applyFont="1" applyFill="1" applyBorder="1" applyAlignment="1" applyProtection="1"/>
    <xf numFmtId="167" fontId="8" fillId="0" borderId="0" xfId="0" applyNumberFormat="1" applyFont="1" applyFill="1" applyBorder="1" applyAlignment="1" applyProtection="1">
      <alignment horizontal="right"/>
    </xf>
    <xf numFmtId="167" fontId="8" fillId="0" borderId="0" xfId="0" applyNumberFormat="1" applyFont="1" applyFill="1" applyBorder="1" applyAlignment="1"/>
    <xf numFmtId="7" fontId="7" fillId="3" borderId="8" xfId="0" applyNumberFormat="1" applyFont="1" applyFill="1" applyBorder="1" applyAlignment="1" applyProtection="1">
      <protection locked="0"/>
    </xf>
    <xf numFmtId="5" fontId="7" fillId="3" borderId="14" xfId="0" applyNumberFormat="1" applyFont="1" applyFill="1" applyBorder="1" applyAlignment="1" applyProtection="1">
      <alignment horizontal="center"/>
      <protection locked="0"/>
    </xf>
    <xf numFmtId="5" fontId="7" fillId="3" borderId="4" xfId="0" applyNumberFormat="1" applyFont="1" applyFill="1" applyBorder="1" applyAlignment="1" applyProtection="1">
      <alignment horizontal="center"/>
      <protection locked="0"/>
    </xf>
    <xf numFmtId="171" fontId="8" fillId="0" borderId="9" xfId="0" applyNumberFormat="1" applyFont="1" applyFill="1" applyBorder="1" applyAlignment="1"/>
    <xf numFmtId="171" fontId="8" fillId="0" borderId="18" xfId="0" applyNumberFormat="1" applyFont="1" applyFill="1" applyBorder="1" applyAlignment="1"/>
    <xf numFmtId="171" fontId="8" fillId="0" borderId="20" xfId="0" applyNumberFormat="1" applyFont="1" applyFill="1" applyBorder="1" applyAlignment="1"/>
    <xf numFmtId="171" fontId="8" fillId="0" borderId="22" xfId="0" applyNumberFormat="1" applyFont="1" applyFill="1" applyBorder="1" applyAlignment="1"/>
    <xf numFmtId="0" fontId="2" fillId="0" borderId="9" xfId="0" applyFont="1" applyBorder="1" applyAlignment="1">
      <alignment horizontal="center"/>
    </xf>
    <xf numFmtId="0" fontId="2" fillId="4" borderId="0" xfId="0" applyFont="1" applyFill="1" applyAlignment="1"/>
    <xf numFmtId="9" fontId="8" fillId="4" borderId="0" xfId="0" applyNumberFormat="1" applyFont="1" applyFill="1" applyAlignment="1"/>
    <xf numFmtId="171" fontId="8" fillId="0" borderId="0" xfId="0" applyNumberFormat="1" applyFont="1" applyFill="1" applyBorder="1" applyAlignment="1"/>
    <xf numFmtId="7" fontId="8" fillId="0" borderId="0" xfId="0" applyNumberFormat="1" applyFont="1" applyFill="1" applyBorder="1" applyAlignment="1" applyProtection="1">
      <protection locked="0"/>
    </xf>
    <xf numFmtId="171" fontId="2" fillId="7" borderId="0" xfId="0" applyNumberFormat="1" applyFont="1" applyFill="1" applyAlignment="1">
      <alignment horizontal="center"/>
    </xf>
    <xf numFmtId="0" fontId="19" fillId="3" borderId="18" xfId="0" applyFont="1" applyFill="1" applyBorder="1" applyAlignment="1"/>
    <xf numFmtId="0" fontId="19" fillId="3" borderId="9" xfId="0" applyFont="1" applyFill="1" applyBorder="1" applyAlignment="1"/>
    <xf numFmtId="0" fontId="2" fillId="3" borderId="0" xfId="0" applyFont="1" applyFill="1" applyAlignment="1"/>
    <xf numFmtId="5" fontId="7" fillId="3" borderId="0" xfId="0" applyNumberFormat="1" applyFont="1" applyFill="1" applyBorder="1" applyAlignment="1" applyProtection="1">
      <alignment horizontal="center"/>
      <protection locked="0"/>
    </xf>
    <xf numFmtId="7" fontId="7" fillId="3" borderId="4" xfId="0" applyNumberFormat="1" applyFont="1" applyFill="1" applyBorder="1" applyAlignment="1" applyProtection="1">
      <alignment horizontal="center"/>
      <protection locked="0"/>
    </xf>
    <xf numFmtId="7" fontId="7" fillId="3" borderId="14" xfId="0" applyNumberFormat="1" applyFont="1" applyFill="1" applyBorder="1" applyAlignment="1" applyProtection="1">
      <alignment horizontal="center"/>
      <protection locked="0"/>
    </xf>
    <xf numFmtId="0" fontId="2" fillId="0" borderId="0" xfId="0" applyFont="1" applyFill="1" applyBorder="1" applyAlignment="1">
      <alignment horizontal="left" wrapText="1"/>
    </xf>
    <xf numFmtId="7" fontId="2" fillId="0" borderId="4" xfId="0" applyNumberFormat="1" applyFont="1" applyBorder="1" applyAlignment="1">
      <alignment horizontal="center"/>
    </xf>
    <xf numFmtId="7" fontId="2" fillId="0" borderId="14" xfId="0" applyNumberFormat="1" applyFont="1" applyBorder="1" applyAlignment="1">
      <alignment horizontal="center"/>
    </xf>
    <xf numFmtId="168" fontId="2" fillId="0" borderId="8" xfId="0" applyNumberFormat="1" applyFont="1" applyFill="1" applyBorder="1" applyAlignment="1" applyProtection="1">
      <alignment horizontal="right"/>
    </xf>
    <xf numFmtId="1" fontId="19" fillId="0" borderId="8" xfId="0" applyNumberFormat="1" applyFont="1" applyFill="1" applyBorder="1" applyAlignment="1" applyProtection="1">
      <protection locked="0"/>
    </xf>
    <xf numFmtId="165" fontId="8" fillId="0" borderId="8" xfId="0" applyNumberFormat="1" applyFont="1" applyFill="1" applyBorder="1" applyAlignment="1" applyProtection="1"/>
    <xf numFmtId="171" fontId="2" fillId="0" borderId="8" xfId="0" applyNumberFormat="1" applyFont="1" applyFill="1" applyBorder="1" applyAlignment="1" applyProtection="1"/>
    <xf numFmtId="167" fontId="2" fillId="0" borderId="8" xfId="0" applyNumberFormat="1" applyFont="1" applyFill="1" applyBorder="1" applyAlignment="1" applyProtection="1"/>
    <xf numFmtId="165" fontId="2" fillId="0" borderId="8" xfId="0" applyNumberFormat="1" applyFont="1" applyFill="1" applyBorder="1" applyAlignment="1" applyProtection="1"/>
    <xf numFmtId="7" fontId="2" fillId="0" borderId="8" xfId="0" applyNumberFormat="1" applyFont="1" applyFill="1" applyBorder="1" applyAlignment="1" applyProtection="1"/>
    <xf numFmtId="0" fontId="2" fillId="0" borderId="8" xfId="0" applyNumberFormat="1" applyFont="1" applyFill="1" applyBorder="1" applyAlignment="1" applyProtection="1"/>
    <xf numFmtId="9" fontId="8" fillId="0" borderId="8" xfId="0" applyNumberFormat="1" applyFont="1" applyFill="1" applyBorder="1" applyAlignment="1" applyProtection="1"/>
    <xf numFmtId="169" fontId="8" fillId="0" borderId="8" xfId="0" applyNumberFormat="1" applyFont="1" applyFill="1" applyBorder="1" applyAlignment="1" applyProtection="1"/>
    <xf numFmtId="168" fontId="2" fillId="0" borderId="18" xfId="0" applyNumberFormat="1" applyFont="1" applyFill="1" applyBorder="1" applyAlignment="1" applyProtection="1">
      <alignment horizontal="right"/>
    </xf>
    <xf numFmtId="168" fontId="2" fillId="0" borderId="19" xfId="0" applyNumberFormat="1" applyFont="1" applyFill="1" applyBorder="1" applyAlignment="1" applyProtection="1">
      <alignment horizontal="right"/>
    </xf>
    <xf numFmtId="1" fontId="19" fillId="0" borderId="18" xfId="0" applyNumberFormat="1" applyFont="1" applyFill="1" applyBorder="1" applyAlignment="1" applyProtection="1">
      <protection locked="0"/>
    </xf>
    <xf numFmtId="1" fontId="19" fillId="0" borderId="19" xfId="0" applyNumberFormat="1" applyFont="1" applyFill="1" applyBorder="1" applyAlignment="1" applyProtection="1">
      <protection locked="0"/>
    </xf>
    <xf numFmtId="165" fontId="8" fillId="0" borderId="18" xfId="0" applyNumberFormat="1" applyFont="1" applyFill="1" applyBorder="1" applyAlignment="1" applyProtection="1"/>
    <xf numFmtId="165" fontId="8" fillId="0" borderId="19" xfId="0" applyNumberFormat="1" applyFont="1" applyFill="1" applyBorder="1" applyAlignment="1" applyProtection="1"/>
    <xf numFmtId="171" fontId="2" fillId="0" borderId="18" xfId="0" applyNumberFormat="1" applyFont="1" applyFill="1" applyBorder="1" applyAlignment="1" applyProtection="1"/>
    <xf numFmtId="171" fontId="2" fillId="0" borderId="19" xfId="0" applyNumberFormat="1" applyFont="1" applyFill="1" applyBorder="1" applyAlignment="1" applyProtection="1"/>
    <xf numFmtId="167" fontId="2" fillId="0" borderId="18" xfId="0" applyNumberFormat="1" applyFont="1" applyFill="1" applyBorder="1" applyAlignment="1" applyProtection="1"/>
    <xf numFmtId="167" fontId="2" fillId="0" borderId="19" xfId="0" applyNumberFormat="1" applyFont="1" applyFill="1" applyBorder="1" applyAlignment="1" applyProtection="1"/>
    <xf numFmtId="165" fontId="2" fillId="0" borderId="18" xfId="0" applyNumberFormat="1" applyFont="1" applyFill="1" applyBorder="1" applyAlignment="1" applyProtection="1"/>
    <xf numFmtId="165" fontId="2" fillId="0" borderId="19" xfId="0" applyNumberFormat="1" applyFont="1" applyFill="1" applyBorder="1" applyAlignment="1" applyProtection="1"/>
    <xf numFmtId="7" fontId="2" fillId="0" borderId="18" xfId="0" applyNumberFormat="1" applyFont="1" applyFill="1" applyBorder="1" applyAlignment="1" applyProtection="1"/>
    <xf numFmtId="7" fontId="2" fillId="0" borderId="19" xfId="0" applyNumberFormat="1" applyFont="1" applyFill="1" applyBorder="1" applyAlignment="1" applyProtection="1"/>
    <xf numFmtId="167" fontId="8" fillId="0" borderId="18" xfId="0" applyNumberFormat="1" applyFont="1" applyFill="1" applyBorder="1" applyAlignment="1" applyProtection="1"/>
    <xf numFmtId="167" fontId="8" fillId="0" borderId="19" xfId="0" applyNumberFormat="1" applyFont="1" applyFill="1" applyBorder="1" applyAlignment="1" applyProtection="1"/>
    <xf numFmtId="169" fontId="8" fillId="0" borderId="18" xfId="0" applyNumberFormat="1" applyFont="1" applyFill="1" applyBorder="1" applyAlignment="1" applyProtection="1"/>
    <xf numFmtId="9" fontId="8" fillId="0" borderId="18" xfId="0" applyNumberFormat="1" applyFont="1" applyFill="1" applyBorder="1" applyAlignment="1" applyProtection="1"/>
    <xf numFmtId="9" fontId="8" fillId="0" borderId="19" xfId="0" applyNumberFormat="1" applyFont="1" applyFill="1" applyBorder="1" applyAlignment="1" applyProtection="1"/>
    <xf numFmtId="9" fontId="8" fillId="0" borderId="20" xfId="0" applyNumberFormat="1" applyFont="1" applyFill="1" applyBorder="1" applyAlignment="1" applyProtection="1"/>
    <xf numFmtId="9" fontId="8" fillId="0" borderId="23" xfId="0" applyNumberFormat="1" applyFont="1" applyFill="1" applyBorder="1" applyAlignment="1" applyProtection="1"/>
    <xf numFmtId="0" fontId="2" fillId="0" borderId="18" xfId="0" applyNumberFormat="1" applyFont="1" applyFill="1" applyBorder="1" applyAlignment="1" applyProtection="1"/>
    <xf numFmtId="169" fontId="8" fillId="0" borderId="19" xfId="0" applyNumberFormat="1" applyFont="1" applyFill="1" applyBorder="1" applyAlignment="1" applyProtection="1"/>
    <xf numFmtId="9" fontId="8" fillId="0" borderId="21" xfId="0" applyNumberFormat="1" applyFont="1" applyFill="1" applyBorder="1" applyAlignment="1" applyProtection="1"/>
    <xf numFmtId="1" fontId="19" fillId="0" borderId="38" xfId="0" applyNumberFormat="1" applyFont="1" applyFill="1" applyBorder="1" applyAlignment="1" applyProtection="1">
      <protection locked="0"/>
    </xf>
    <xf numFmtId="165" fontId="8" fillId="0" borderId="38" xfId="0" applyNumberFormat="1" applyFont="1" applyFill="1" applyBorder="1" applyAlignment="1" applyProtection="1"/>
    <xf numFmtId="171" fontId="2" fillId="0" borderId="38" xfId="0" applyNumberFormat="1" applyFont="1" applyFill="1" applyBorder="1" applyAlignment="1" applyProtection="1"/>
    <xf numFmtId="7" fontId="2" fillId="0" borderId="38" xfId="0" applyNumberFormat="1" applyFont="1" applyFill="1" applyBorder="1" applyAlignment="1" applyProtection="1"/>
    <xf numFmtId="165" fontId="2" fillId="0" borderId="38" xfId="0" applyNumberFormat="1" applyFont="1" applyFill="1" applyBorder="1" applyAlignment="1" applyProtection="1"/>
    <xf numFmtId="167" fontId="2" fillId="0" borderId="38" xfId="0" applyNumberFormat="1" applyFont="1" applyFill="1" applyBorder="1" applyAlignment="1" applyProtection="1"/>
    <xf numFmtId="0" fontId="2" fillId="0" borderId="38" xfId="0" applyNumberFormat="1" applyFont="1" applyFill="1" applyBorder="1" applyAlignment="1" applyProtection="1"/>
    <xf numFmtId="167" fontId="8" fillId="0" borderId="38" xfId="0" applyNumberFormat="1" applyFont="1" applyFill="1" applyBorder="1" applyAlignment="1" applyProtection="1"/>
    <xf numFmtId="9" fontId="8" fillId="0" borderId="38" xfId="0" applyNumberFormat="1" applyFont="1" applyFill="1" applyBorder="1" applyAlignment="1" applyProtection="1"/>
    <xf numFmtId="9" fontId="8" fillId="0" borderId="39" xfId="0" applyNumberFormat="1" applyFont="1" applyFill="1" applyBorder="1" applyAlignment="1" applyProtection="1"/>
    <xf numFmtId="7" fontId="8" fillId="0" borderId="18" xfId="0" applyNumberFormat="1" applyFont="1" applyFill="1" applyBorder="1" applyAlignment="1" applyProtection="1"/>
    <xf numFmtId="2" fontId="2" fillId="0" borderId="18" xfId="0" applyNumberFormat="1" applyFont="1" applyFill="1" applyBorder="1" applyAlignment="1" applyProtection="1"/>
    <xf numFmtId="171" fontId="2" fillId="0" borderId="0" xfId="0" applyNumberFormat="1" applyFont="1" applyFill="1" applyBorder="1" applyAlignment="1" applyProtection="1"/>
    <xf numFmtId="9" fontId="8" fillId="0" borderId="0" xfId="0" applyNumberFormat="1" applyFont="1" applyFill="1" applyBorder="1" applyAlignment="1" applyProtection="1"/>
    <xf numFmtId="0" fontId="2" fillId="0" borderId="0" xfId="0" applyNumberFormat="1" applyFont="1" applyFill="1" applyBorder="1" applyAlignment="1" applyProtection="1"/>
    <xf numFmtId="169" fontId="8" fillId="0" borderId="8" xfId="0" applyNumberFormat="1" applyFont="1" applyFill="1" applyBorder="1" applyAlignment="1" applyProtection="1">
      <alignment horizontal="right"/>
    </xf>
    <xf numFmtId="2" fontId="2" fillId="0" borderId="19" xfId="0" applyNumberFormat="1" applyFont="1" applyFill="1" applyBorder="1" applyAlignment="1" applyProtection="1"/>
    <xf numFmtId="2" fontId="2" fillId="0" borderId="0" xfId="0" applyNumberFormat="1" applyFont="1" applyFill="1" applyBorder="1" applyAlignment="1" applyProtection="1"/>
    <xf numFmtId="2" fontId="2" fillId="0" borderId="8" xfId="0" applyNumberFormat="1" applyFont="1" applyFill="1" applyBorder="1" applyAlignment="1" applyProtection="1"/>
    <xf numFmtId="2" fontId="2" fillId="0" borderId="38" xfId="0" applyNumberFormat="1" applyFont="1" applyFill="1" applyBorder="1" applyAlignment="1" applyProtection="1"/>
    <xf numFmtId="0" fontId="2" fillId="0" borderId="19" xfId="0" applyNumberFormat="1" applyFont="1" applyFill="1" applyBorder="1" applyAlignment="1" applyProtection="1"/>
    <xf numFmtId="1" fontId="2" fillId="0" borderId="18" xfId="0" applyNumberFormat="1" applyFont="1" applyFill="1" applyBorder="1" applyAlignment="1" applyProtection="1">
      <alignment horizontal="right"/>
    </xf>
    <xf numFmtId="1" fontId="2" fillId="0" borderId="19" xfId="0" applyNumberFormat="1" applyFont="1" applyFill="1" applyBorder="1" applyAlignment="1" applyProtection="1">
      <alignment horizontal="right"/>
    </xf>
    <xf numFmtId="1" fontId="2" fillId="0" borderId="38" xfId="0" applyNumberFormat="1" applyFont="1" applyFill="1" applyBorder="1" applyAlignment="1" applyProtection="1">
      <alignment horizontal="right"/>
    </xf>
    <xf numFmtId="9" fontId="2" fillId="0" borderId="18" xfId="15" applyFont="1" applyFill="1" applyBorder="1" applyAlignment="1" applyProtection="1">
      <alignment horizontal="right"/>
    </xf>
    <xf numFmtId="9" fontId="2" fillId="0" borderId="19" xfId="15" applyFont="1" applyFill="1" applyBorder="1" applyAlignment="1" applyProtection="1">
      <alignment horizontal="right"/>
    </xf>
    <xf numFmtId="9" fontId="2" fillId="0" borderId="38" xfId="15" applyFont="1" applyFill="1" applyBorder="1" applyAlignment="1" applyProtection="1">
      <alignment horizontal="right"/>
    </xf>
    <xf numFmtId="165" fontId="2" fillId="0" borderId="18" xfId="15" applyNumberFormat="1" applyFont="1" applyFill="1" applyBorder="1" applyAlignment="1" applyProtection="1"/>
    <xf numFmtId="165" fontId="2" fillId="0" borderId="19" xfId="15" applyNumberFormat="1" applyFont="1" applyFill="1" applyBorder="1" applyAlignment="1" applyProtection="1"/>
    <xf numFmtId="165" fontId="2" fillId="0" borderId="8" xfId="15" applyNumberFormat="1" applyFont="1" applyFill="1" applyBorder="1" applyAlignment="1" applyProtection="1"/>
    <xf numFmtId="165" fontId="2" fillId="0" borderId="38" xfId="15" applyNumberFormat="1" applyFont="1" applyFill="1" applyBorder="1" applyAlignment="1" applyProtection="1"/>
    <xf numFmtId="173" fontId="8" fillId="0" borderId="19" xfId="0" applyNumberFormat="1" applyFont="1" applyFill="1" applyBorder="1" applyAlignment="1" applyProtection="1"/>
    <xf numFmtId="173" fontId="8" fillId="0" borderId="8" xfId="0" applyNumberFormat="1" applyFont="1" applyFill="1" applyBorder="1" applyAlignment="1" applyProtection="1"/>
    <xf numFmtId="173" fontId="8" fillId="0" borderId="0" xfId="0" applyNumberFormat="1" applyFont="1" applyFill="1" applyBorder="1" applyAlignment="1" applyProtection="1"/>
    <xf numFmtId="173" fontId="8" fillId="0" borderId="38" xfId="0" applyNumberFormat="1" applyFont="1" applyFill="1" applyBorder="1" applyAlignment="1" applyProtection="1"/>
    <xf numFmtId="0" fontId="0" fillId="0" borderId="0" xfId="0" applyAlignment="1">
      <alignment vertical="center"/>
    </xf>
    <xf numFmtId="173" fontId="0" fillId="0" borderId="0" xfId="0" applyNumberFormat="1" applyAlignment="1">
      <alignment vertical="center"/>
    </xf>
    <xf numFmtId="3" fontId="0" fillId="0" borderId="0" xfId="0" applyNumberFormat="1" applyFill="1" applyAlignment="1"/>
    <xf numFmtId="173" fontId="0" fillId="0" borderId="0" xfId="0" applyNumberFormat="1" applyFill="1" applyAlignment="1"/>
    <xf numFmtId="4" fontId="0" fillId="0" borderId="0" xfId="0" applyNumberFormat="1" applyFill="1" applyAlignment="1"/>
    <xf numFmtId="2" fontId="0" fillId="0" borderId="0" xfId="0" applyNumberFormat="1" applyFill="1" applyAlignment="1"/>
    <xf numFmtId="1" fontId="19" fillId="0" borderId="0" xfId="0" applyNumberFormat="1" applyFont="1" applyFill="1" applyBorder="1" applyAlignment="1" applyProtection="1">
      <alignment horizontal="center"/>
      <protection locked="0"/>
    </xf>
    <xf numFmtId="7" fontId="36" fillId="0" borderId="0" xfId="0" applyNumberFormat="1" applyFont="1" applyFill="1" applyBorder="1" applyAlignment="1" applyProtection="1">
      <alignment horizontal="center"/>
      <protection locked="0"/>
    </xf>
    <xf numFmtId="7" fontId="36" fillId="0" borderId="0" xfId="0" applyNumberFormat="1" applyFont="1" applyFill="1" applyBorder="1" applyAlignment="1" applyProtection="1">
      <protection locked="0"/>
    </xf>
    <xf numFmtId="0" fontId="36" fillId="0" borderId="0" xfId="0" applyFont="1" applyAlignment="1" applyProtection="1">
      <protection locked="0"/>
    </xf>
    <xf numFmtId="7" fontId="36" fillId="0" borderId="0" xfId="0" applyNumberFormat="1" applyFont="1" applyFill="1" applyBorder="1" applyAlignment="1" applyProtection="1">
      <alignment horizontal="right"/>
      <protection locked="0"/>
    </xf>
    <xf numFmtId="0" fontId="37" fillId="0" borderId="0" xfId="0" applyNumberFormat="1" applyFont="1" applyFill="1" applyBorder="1" applyAlignment="1" applyProtection="1">
      <alignment horizontal="left"/>
      <protection locked="0"/>
    </xf>
    <xf numFmtId="167" fontId="36" fillId="0" borderId="0" xfId="0" applyNumberFormat="1" applyFont="1" applyFill="1" applyBorder="1" applyAlignment="1" applyProtection="1">
      <protection locked="0"/>
    </xf>
    <xf numFmtId="7" fontId="38" fillId="0" borderId="0" xfId="0" applyNumberFormat="1" applyFont="1" applyFill="1" applyBorder="1" applyAlignment="1" applyProtection="1">
      <protection locked="0"/>
    </xf>
    <xf numFmtId="7" fontId="36" fillId="0" borderId="0" xfId="0" applyNumberFormat="1" applyFont="1" applyFill="1" applyBorder="1" applyAlignment="1" applyProtection="1"/>
    <xf numFmtId="7" fontId="36" fillId="0" borderId="0" xfId="0" applyNumberFormat="1" applyFont="1" applyFill="1" applyBorder="1" applyAlignment="1"/>
    <xf numFmtId="0" fontId="36" fillId="0" borderId="0" xfId="0" applyFont="1" applyFill="1" applyAlignment="1"/>
    <xf numFmtId="7" fontId="38" fillId="0" borderId="0" xfId="0" applyNumberFormat="1" applyFont="1" applyFill="1" applyBorder="1" applyAlignment="1" applyProtection="1"/>
    <xf numFmtId="7" fontId="38" fillId="0" borderId="0" xfId="0" applyNumberFormat="1" applyFont="1" applyFill="1" applyBorder="1" applyAlignment="1"/>
    <xf numFmtId="0" fontId="36" fillId="0" borderId="0" xfId="0" applyFont="1" applyAlignment="1"/>
    <xf numFmtId="0" fontId="8" fillId="0" borderId="35" xfId="0" applyFont="1" applyFill="1" applyBorder="1" applyAlignment="1" applyProtection="1">
      <alignment horizontal="center" wrapText="1"/>
    </xf>
    <xf numFmtId="2" fontId="2" fillId="0" borderId="46" xfId="0" applyNumberFormat="1" applyFont="1" applyFill="1" applyBorder="1" applyAlignment="1" applyProtection="1"/>
    <xf numFmtId="0" fontId="2" fillId="0" borderId="46" xfId="0" applyNumberFormat="1" applyFont="1" applyFill="1" applyBorder="1" applyAlignment="1" applyProtection="1"/>
    <xf numFmtId="173" fontId="33" fillId="5" borderId="34" xfId="0" applyNumberFormat="1" applyFont="1" applyFill="1" applyBorder="1" applyAlignment="1" applyProtection="1">
      <alignment horizontal="center" wrapText="1"/>
      <protection locked="0"/>
    </xf>
    <xf numFmtId="168" fontId="2" fillId="0" borderId="47" xfId="0" applyNumberFormat="1" applyFont="1" applyFill="1" applyBorder="1" applyAlignment="1" applyProtection="1">
      <alignment horizontal="right"/>
    </xf>
    <xf numFmtId="167" fontId="8" fillId="0" borderId="47" xfId="0" applyNumberFormat="1" applyFont="1" applyFill="1" applyBorder="1" applyAlignment="1" applyProtection="1"/>
    <xf numFmtId="169" fontId="8" fillId="0" borderId="38" xfId="0" applyNumberFormat="1" applyFont="1" applyFill="1" applyBorder="1" applyAlignment="1" applyProtection="1">
      <alignment horizontal="right"/>
    </xf>
    <xf numFmtId="166" fontId="19" fillId="5" borderId="48" xfId="0" applyNumberFormat="1" applyFont="1" applyFill="1" applyBorder="1" applyAlignment="1" applyProtection="1">
      <alignment horizontal="center"/>
      <protection locked="0"/>
    </xf>
    <xf numFmtId="166" fontId="0" fillId="0" borderId="0" xfId="0" applyNumberFormat="1" applyFill="1" applyAlignment="1"/>
    <xf numFmtId="2" fontId="19" fillId="0" borderId="0" xfId="0" applyNumberFormat="1" applyFont="1" applyAlignment="1" applyProtection="1">
      <protection locked="0"/>
    </xf>
    <xf numFmtId="173" fontId="4" fillId="0" borderId="50" xfId="0" applyNumberFormat="1" applyFont="1" applyFill="1" applyBorder="1" applyAlignment="1" applyProtection="1">
      <alignment horizontal="center" wrapText="1"/>
    </xf>
    <xf numFmtId="173" fontId="4" fillId="0" borderId="42" xfId="0" applyNumberFormat="1" applyFont="1" applyFill="1" applyBorder="1" applyAlignment="1" applyProtection="1">
      <alignment horizontal="center" wrapText="1"/>
    </xf>
    <xf numFmtId="0" fontId="2" fillId="2" borderId="0" xfId="0" applyFont="1" applyFill="1" applyBorder="1" applyAlignment="1">
      <alignment horizontal="center" wrapText="1"/>
    </xf>
    <xf numFmtId="0" fontId="8" fillId="4" borderId="3" xfId="0" applyFont="1" applyFill="1" applyBorder="1" applyAlignment="1">
      <alignment horizontal="center"/>
    </xf>
    <xf numFmtId="0" fontId="2" fillId="4" borderId="3" xfId="0" applyFont="1" applyFill="1" applyBorder="1" applyAlignment="1"/>
    <xf numFmtId="167" fontId="19" fillId="4" borderId="3" xfId="0" applyNumberFormat="1" applyFont="1" applyFill="1" applyBorder="1" applyAlignment="1">
      <alignment horizontal="center"/>
    </xf>
    <xf numFmtId="173" fontId="12" fillId="0" borderId="50" xfId="0" applyNumberFormat="1" applyFont="1" applyFill="1" applyBorder="1" applyAlignment="1" applyProtection="1">
      <alignment horizontal="center" wrapText="1"/>
    </xf>
    <xf numFmtId="173" fontId="4" fillId="0" borderId="38" xfId="0" applyNumberFormat="1" applyFont="1" applyFill="1" applyBorder="1" applyAlignment="1" applyProtection="1">
      <alignment horizontal="center" wrapText="1"/>
    </xf>
    <xf numFmtId="171" fontId="2" fillId="0" borderId="18" xfId="0" applyNumberFormat="1" applyFont="1" applyFill="1" applyBorder="1" applyAlignment="1" applyProtection="1">
      <alignment horizontal="center"/>
    </xf>
    <xf numFmtId="2" fontId="19" fillId="0" borderId="46" xfId="0" applyNumberFormat="1" applyFont="1" applyFill="1" applyBorder="1" applyAlignment="1" applyProtection="1">
      <protection locked="0"/>
    </xf>
    <xf numFmtId="2" fontId="19" fillId="0" borderId="0" xfId="0" applyNumberFormat="1" applyFont="1" applyFill="1" applyBorder="1" applyAlignment="1" applyProtection="1">
      <protection locked="0"/>
    </xf>
    <xf numFmtId="171" fontId="2" fillId="0" borderId="46" xfId="0" applyNumberFormat="1" applyFont="1" applyFill="1" applyBorder="1" applyAlignment="1" applyProtection="1"/>
    <xf numFmtId="1" fontId="2" fillId="0" borderId="46" xfId="0" applyNumberFormat="1" applyFont="1" applyFill="1" applyBorder="1" applyAlignment="1" applyProtection="1">
      <alignment horizontal="right"/>
    </xf>
    <xf numFmtId="9" fontId="2" fillId="0" borderId="46" xfId="15" applyFont="1" applyFill="1" applyBorder="1" applyAlignment="1" applyProtection="1">
      <alignment horizontal="right"/>
    </xf>
    <xf numFmtId="0" fontId="39" fillId="0" borderId="0" xfId="0" applyFont="1" applyBorder="1" applyAlignment="1" applyProtection="1">
      <alignment vertical="center"/>
    </xf>
    <xf numFmtId="0" fontId="0" fillId="0" borderId="0" xfId="0" applyAlignment="1" applyProtection="1">
      <alignment vertical="center"/>
    </xf>
    <xf numFmtId="0" fontId="41" fillId="0" borderId="0" xfId="0" applyFont="1" applyFill="1" applyAlignment="1" applyProtection="1"/>
    <xf numFmtId="0" fontId="31" fillId="0" borderId="0" xfId="0" applyFont="1" applyFill="1" applyAlignment="1" applyProtection="1">
      <alignment horizontal="center"/>
    </xf>
    <xf numFmtId="0" fontId="42" fillId="0" borderId="0" xfId="0" applyFont="1" applyFill="1" applyAlignment="1" applyProtection="1">
      <alignment horizontal="right"/>
    </xf>
    <xf numFmtId="14" fontId="1" fillId="0" borderId="0" xfId="0" applyNumberFormat="1" applyFont="1" applyAlignment="1" applyProtection="1"/>
    <xf numFmtId="14" fontId="1" fillId="0" borderId="0" xfId="0" applyNumberFormat="1" applyFont="1" applyAlignment="1" applyProtection="1">
      <alignment horizontal="right"/>
    </xf>
    <xf numFmtId="0" fontId="4" fillId="0" borderId="0" xfId="0" applyFont="1" applyFill="1" applyAlignment="1" applyProtection="1"/>
    <xf numFmtId="0" fontId="4" fillId="0" borderId="50" xfId="0" applyFont="1" applyFill="1" applyBorder="1" applyAlignment="1" applyProtection="1">
      <alignment horizontal="center" wrapText="1"/>
    </xf>
    <xf numFmtId="0" fontId="8" fillId="0" borderId="37" xfId="0" applyFont="1" applyFill="1" applyBorder="1" applyAlignment="1" applyProtection="1">
      <alignment horizontal="center" wrapText="1"/>
    </xf>
    <xf numFmtId="173" fontId="4" fillId="0" borderId="53" xfId="0" applyNumberFormat="1" applyFont="1" applyFill="1" applyBorder="1" applyAlignment="1" applyProtection="1">
      <alignment horizontal="center" wrapText="1"/>
    </xf>
    <xf numFmtId="173" fontId="33" fillId="5" borderId="40" xfId="0" applyNumberFormat="1" applyFont="1" applyFill="1" applyBorder="1" applyAlignment="1" applyProtection="1">
      <alignment horizontal="center" wrapText="1"/>
      <protection locked="0"/>
    </xf>
    <xf numFmtId="0" fontId="21" fillId="0" borderId="36" xfId="0" applyFont="1" applyFill="1" applyBorder="1" applyAlignment="1" applyProtection="1"/>
    <xf numFmtId="0" fontId="21" fillId="0" borderId="18" xfId="0" applyFont="1" applyFill="1" applyBorder="1" applyAlignment="1" applyProtection="1"/>
    <xf numFmtId="0" fontId="2" fillId="0" borderId="36" xfId="0" applyFont="1" applyFill="1" applyBorder="1" applyAlignment="1" applyProtection="1"/>
    <xf numFmtId="0" fontId="2" fillId="0" borderId="37" xfId="0" applyFont="1" applyFill="1" applyBorder="1" applyAlignment="1" applyProtection="1"/>
    <xf numFmtId="0" fontId="2" fillId="0" borderId="19" xfId="0" applyFont="1" applyFill="1" applyBorder="1" applyAlignment="1" applyProtection="1"/>
    <xf numFmtId="0" fontId="8" fillId="0" borderId="19" xfId="0" applyFont="1" applyFill="1" applyBorder="1" applyAlignment="1" applyProtection="1"/>
    <xf numFmtId="0" fontId="8" fillId="0" borderId="18" xfId="0" applyFont="1" applyBorder="1" applyAlignment="1" applyProtection="1"/>
    <xf numFmtId="0" fontId="8" fillId="0" borderId="18" xfId="0" applyFont="1" applyFill="1" applyBorder="1" applyAlignment="1" applyProtection="1"/>
    <xf numFmtId="0" fontId="8" fillId="0" borderId="20" xfId="0" applyFont="1" applyFill="1" applyBorder="1" applyAlignment="1" applyProtection="1"/>
    <xf numFmtId="0" fontId="8" fillId="0" borderId="23" xfId="0" applyFont="1" applyFill="1" applyBorder="1" applyAlignment="1" applyProtection="1"/>
    <xf numFmtId="173" fontId="6" fillId="5" borderId="38" xfId="0" applyNumberFormat="1" applyFont="1" applyFill="1" applyBorder="1" applyAlignment="1" applyProtection="1">
      <alignment vertical="center"/>
    </xf>
    <xf numFmtId="173" fontId="6" fillId="5" borderId="8" xfId="0" applyNumberFormat="1" applyFont="1" applyFill="1" applyBorder="1" applyAlignment="1" applyProtection="1">
      <alignment vertical="center"/>
    </xf>
    <xf numFmtId="173" fontId="6" fillId="5" borderId="19" xfId="0" applyNumberFormat="1" applyFont="1" applyFill="1" applyBorder="1" applyAlignment="1" applyProtection="1">
      <alignment vertical="center"/>
    </xf>
    <xf numFmtId="173" fontId="6" fillId="5" borderId="18" xfId="0" applyNumberFormat="1" applyFont="1" applyFill="1" applyBorder="1" applyAlignment="1" applyProtection="1">
      <alignment vertical="center"/>
    </xf>
    <xf numFmtId="173" fontId="6" fillId="5" borderId="0" xfId="0" applyNumberFormat="1" applyFont="1" applyFill="1" applyBorder="1" applyAlignment="1" applyProtection="1">
      <alignment vertical="center"/>
    </xf>
    <xf numFmtId="165" fontId="8" fillId="0" borderId="35" xfId="0" applyNumberFormat="1" applyFont="1" applyFill="1" applyBorder="1" applyAlignment="1" applyProtection="1"/>
    <xf numFmtId="165" fontId="8" fillId="0" borderId="55" xfId="0" applyNumberFormat="1" applyFont="1" applyFill="1" applyBorder="1" applyAlignment="1" applyProtection="1"/>
    <xf numFmtId="165" fontId="8" fillId="0" borderId="37" xfId="0" applyNumberFormat="1" applyFont="1" applyFill="1" applyBorder="1" applyAlignment="1" applyProtection="1"/>
    <xf numFmtId="165" fontId="8" fillId="0" borderId="36" xfId="0" applyNumberFormat="1" applyFont="1" applyFill="1" applyBorder="1" applyAlignment="1" applyProtection="1"/>
    <xf numFmtId="171" fontId="2" fillId="0" borderId="56" xfId="0" applyNumberFormat="1" applyFont="1" applyFill="1" applyBorder="1" applyAlignment="1" applyProtection="1"/>
    <xf numFmtId="0" fontId="14" fillId="0" borderId="0" xfId="0" applyFont="1" applyAlignment="1" applyProtection="1">
      <alignment vertical="center"/>
    </xf>
    <xf numFmtId="0" fontId="40" fillId="0" borderId="0" xfId="0" applyFont="1" applyAlignment="1" applyProtection="1">
      <alignment vertical="center"/>
    </xf>
    <xf numFmtId="0" fontId="4" fillId="0" borderId="0" xfId="0" applyFont="1" applyAlignment="1" applyProtection="1">
      <alignment vertical="center"/>
    </xf>
    <xf numFmtId="0" fontId="44" fillId="0" borderId="0" xfId="0" applyFont="1" applyFill="1" applyAlignment="1" applyProtection="1">
      <alignment wrapText="1"/>
    </xf>
    <xf numFmtId="0" fontId="0" fillId="0" borderId="0" xfId="0" applyAlignment="1" applyProtection="1"/>
    <xf numFmtId="0" fontId="5" fillId="6" borderId="0" xfId="0" applyFont="1" applyFill="1" applyAlignment="1" applyProtection="1"/>
    <xf numFmtId="0" fontId="5" fillId="0" borderId="0" xfId="0" applyFont="1" applyAlignment="1" applyProtection="1"/>
    <xf numFmtId="0" fontId="5" fillId="0" borderId="37" xfId="0" applyFont="1" applyBorder="1" applyAlignment="1" applyProtection="1"/>
    <xf numFmtId="0" fontId="23" fillId="0" borderId="0" xfId="0" applyFont="1" applyFill="1" applyAlignment="1" applyProtection="1"/>
    <xf numFmtId="0" fontId="5" fillId="0" borderId="19" xfId="0" applyFont="1" applyBorder="1" applyAlignment="1" applyProtection="1"/>
    <xf numFmtId="173" fontId="16" fillId="0" borderId="36" xfId="0" applyNumberFormat="1" applyFont="1" applyFill="1" applyBorder="1" applyAlignment="1" applyProtection="1">
      <alignment vertical="center" wrapText="1"/>
    </xf>
    <xf numFmtId="173" fontId="16" fillId="0" borderId="43" xfId="0" applyNumberFormat="1" applyFont="1" applyFill="1" applyBorder="1" applyAlignment="1" applyProtection="1">
      <alignment horizontal="center" wrapText="1"/>
    </xf>
    <xf numFmtId="173" fontId="16" fillId="0" borderId="45" xfId="0" applyNumberFormat="1" applyFont="1" applyFill="1" applyBorder="1" applyAlignment="1" applyProtection="1">
      <alignment vertical="center" wrapText="1"/>
    </xf>
    <xf numFmtId="173" fontId="16" fillId="0" borderId="0" xfId="0" applyNumberFormat="1" applyFont="1" applyFill="1" applyBorder="1" applyAlignment="1" applyProtection="1">
      <alignment vertical="center" wrapText="1"/>
    </xf>
    <xf numFmtId="0" fontId="5" fillId="0" borderId="39" xfId="0" applyFont="1" applyBorder="1" applyAlignment="1" applyProtection="1"/>
    <xf numFmtId="0" fontId="5" fillId="0" borderId="23" xfId="0" applyFont="1" applyFill="1" applyBorder="1" applyAlignment="1" applyProtection="1"/>
    <xf numFmtId="0" fontId="8" fillId="0" borderId="50" xfId="0" applyFont="1" applyFill="1" applyBorder="1" applyAlignment="1" applyProtection="1">
      <alignment horizontal="center"/>
    </xf>
    <xf numFmtId="0" fontId="5" fillId="0" borderId="0" xfId="0" applyFont="1" applyFill="1" applyAlignment="1" applyProtection="1"/>
    <xf numFmtId="0" fontId="5" fillId="0" borderId="35" xfId="0" applyFont="1" applyFill="1" applyBorder="1" applyAlignment="1" applyProtection="1"/>
    <xf numFmtId="0" fontId="3" fillId="0" borderId="18" xfId="0" applyFont="1" applyFill="1" applyBorder="1" applyAlignment="1" applyProtection="1"/>
    <xf numFmtId="1" fontId="19" fillId="0" borderId="38" xfId="0" applyNumberFormat="1" applyFont="1" applyFill="1" applyBorder="1" applyAlignment="1" applyProtection="1"/>
    <xf numFmtId="1" fontId="19" fillId="0" borderId="8" xfId="0" applyNumberFormat="1" applyFont="1" applyFill="1" applyBorder="1" applyAlignment="1" applyProtection="1"/>
    <xf numFmtId="1" fontId="19" fillId="0" borderId="19" xfId="0" applyNumberFormat="1" applyFont="1" applyFill="1" applyBorder="1" applyAlignment="1" applyProtection="1"/>
    <xf numFmtId="1" fontId="19" fillId="0" borderId="18" xfId="0" applyNumberFormat="1" applyFont="1" applyFill="1" applyBorder="1" applyAlignment="1" applyProtection="1"/>
    <xf numFmtId="0" fontId="8" fillId="0" borderId="38" xfId="0" applyNumberFormat="1" applyFont="1" applyFill="1" applyBorder="1" applyAlignment="1" applyProtection="1"/>
    <xf numFmtId="0" fontId="2" fillId="0" borderId="19" xfId="0" applyFont="1" applyBorder="1" applyAlignment="1" applyProtection="1">
      <alignment horizontal="left" wrapText="1"/>
    </xf>
    <xf numFmtId="0" fontId="5" fillId="0" borderId="38" xfId="0" applyFont="1" applyFill="1" applyBorder="1" applyAlignment="1" applyProtection="1"/>
    <xf numFmtId="0" fontId="8" fillId="0" borderId="37" xfId="0" applyFont="1" applyFill="1" applyBorder="1" applyAlignment="1" applyProtection="1"/>
    <xf numFmtId="0" fontId="2" fillId="0" borderId="35" xfId="0" applyFont="1" applyFill="1" applyBorder="1" applyAlignment="1" applyProtection="1"/>
    <xf numFmtId="0" fontId="2" fillId="0" borderId="19" xfId="0" applyFont="1" applyFill="1" applyBorder="1" applyAlignment="1" applyProtection="1">
      <alignment horizontal="left"/>
    </xf>
    <xf numFmtId="0" fontId="8" fillId="0" borderId="19" xfId="0" applyFont="1" applyFill="1" applyBorder="1" applyAlignment="1" applyProtection="1">
      <alignment horizontal="left" wrapText="1"/>
    </xf>
    <xf numFmtId="0" fontId="3" fillId="5" borderId="18" xfId="0" applyFont="1" applyFill="1" applyBorder="1" applyAlignment="1" applyProtection="1">
      <alignment vertical="center"/>
    </xf>
    <xf numFmtId="0" fontId="6" fillId="5" borderId="19" xfId="0" applyFont="1" applyFill="1" applyBorder="1" applyAlignment="1" applyProtection="1">
      <alignment horizontal="left" vertical="center" wrapText="1"/>
    </xf>
    <xf numFmtId="0" fontId="5" fillId="0" borderId="0" xfId="0" applyFont="1" applyFill="1" applyAlignment="1" applyProtection="1">
      <alignment vertical="center"/>
    </xf>
    <xf numFmtId="0" fontId="0" fillId="0" borderId="18" xfId="0" applyBorder="1" applyAlignment="1" applyProtection="1"/>
    <xf numFmtId="0" fontId="0" fillId="0" borderId="19" xfId="0" applyFill="1" applyBorder="1" applyAlignment="1" applyProtection="1"/>
    <xf numFmtId="0" fontId="0" fillId="0" borderId="38" xfId="0" applyFill="1" applyBorder="1" applyAlignment="1" applyProtection="1"/>
    <xf numFmtId="0" fontId="0" fillId="0" borderId="8" xfId="0" applyFill="1" applyBorder="1" applyAlignment="1" applyProtection="1"/>
    <xf numFmtId="0" fontId="0" fillId="0" borderId="18" xfId="0" applyFill="1" applyBorder="1" applyAlignment="1" applyProtection="1"/>
    <xf numFmtId="0" fontId="0" fillId="0" borderId="38" xfId="0" applyBorder="1" applyAlignment="1" applyProtection="1"/>
    <xf numFmtId="0" fontId="2" fillId="0" borderId="19" xfId="0" applyFont="1" applyFill="1" applyBorder="1" applyAlignment="1" applyProtection="1">
      <alignment horizontal="left" wrapText="1"/>
    </xf>
    <xf numFmtId="0" fontId="5" fillId="0" borderId="0" xfId="0" applyFont="1" applyAlignment="1" applyProtection="1">
      <alignment vertical="center"/>
    </xf>
    <xf numFmtId="0" fontId="3" fillId="0" borderId="20" xfId="0" applyFont="1" applyFill="1" applyBorder="1" applyAlignment="1" applyProtection="1"/>
    <xf numFmtId="0" fontId="2" fillId="0" borderId="23" xfId="0" applyFont="1" applyFill="1" applyBorder="1" applyAlignment="1" applyProtection="1">
      <alignment horizontal="left" wrapText="1"/>
    </xf>
    <xf numFmtId="173" fontId="2" fillId="0" borderId="39" xfId="0" applyNumberFormat="1" applyFont="1" applyFill="1" applyBorder="1" applyAlignment="1" applyProtection="1"/>
    <xf numFmtId="173" fontId="2" fillId="0" borderId="21" xfId="0" applyNumberFormat="1" applyFont="1" applyFill="1" applyBorder="1" applyAlignment="1" applyProtection="1"/>
    <xf numFmtId="173" fontId="2" fillId="0" borderId="23" xfId="0" applyNumberFormat="1" applyFont="1" applyFill="1" applyBorder="1" applyAlignment="1" applyProtection="1"/>
    <xf numFmtId="0" fontId="0" fillId="0" borderId="20" xfId="0" applyFill="1" applyBorder="1" applyAlignment="1" applyProtection="1"/>
    <xf numFmtId="0" fontId="0" fillId="0" borderId="39" xfId="0" applyBorder="1" applyAlignment="1" applyProtection="1"/>
    <xf numFmtId="0" fontId="2" fillId="0" borderId="37" xfId="0" applyFont="1" applyFill="1" applyBorder="1" applyAlignment="1" applyProtection="1">
      <alignment horizontal="left" wrapText="1"/>
    </xf>
    <xf numFmtId="173" fontId="2" fillId="0" borderId="35" xfId="0" applyNumberFormat="1" applyFont="1" applyFill="1" applyBorder="1" applyAlignment="1" applyProtection="1"/>
    <xf numFmtId="173" fontId="2" fillId="0" borderId="55" xfId="0" applyNumberFormat="1" applyFont="1" applyFill="1" applyBorder="1" applyAlignment="1" applyProtection="1"/>
    <xf numFmtId="173" fontId="2" fillId="0" borderId="37" xfId="0" applyNumberFormat="1" applyFont="1" applyFill="1" applyBorder="1" applyAlignment="1" applyProtection="1"/>
    <xf numFmtId="0" fontId="0" fillId="0" borderId="36" xfId="0" applyFill="1" applyBorder="1" applyAlignment="1" applyProtection="1"/>
    <xf numFmtId="0" fontId="0" fillId="0" borderId="35" xfId="0" applyBorder="1" applyAlignment="1" applyProtection="1"/>
    <xf numFmtId="0" fontId="8" fillId="0" borderId="19" xfId="0" applyFont="1" applyFill="1" applyBorder="1" applyAlignment="1" applyProtection="1">
      <alignment horizontal="left"/>
    </xf>
    <xf numFmtId="173" fontId="2" fillId="0" borderId="38" xfId="0" applyNumberFormat="1" applyFont="1" applyFill="1" applyBorder="1" applyAlignment="1" applyProtection="1"/>
    <xf numFmtId="173" fontId="2" fillId="0" borderId="8" xfId="0" applyNumberFormat="1" applyFont="1" applyFill="1" applyBorder="1" applyAlignment="1" applyProtection="1"/>
    <xf numFmtId="173" fontId="2" fillId="0" borderId="19" xfId="0" applyNumberFormat="1" applyFont="1" applyFill="1" applyBorder="1" applyAlignment="1" applyProtection="1"/>
    <xf numFmtId="0" fontId="11" fillId="0" borderId="19" xfId="0" applyFont="1" applyFill="1" applyBorder="1" applyAlignment="1" applyProtection="1">
      <alignment horizontal="left" wrapText="1"/>
    </xf>
    <xf numFmtId="0" fontId="5" fillId="0" borderId="18" xfId="0" applyFont="1" applyFill="1" applyBorder="1" applyAlignment="1" applyProtection="1"/>
    <xf numFmtId="0" fontId="6" fillId="0" borderId="38" xfId="0" applyFont="1" applyBorder="1" applyAlignment="1" applyProtection="1"/>
    <xf numFmtId="0" fontId="6" fillId="0" borderId="0" xfId="0" applyFont="1" applyAlignment="1" applyProtection="1"/>
    <xf numFmtId="0" fontId="4" fillId="0" borderId="8" xfId="0" applyFont="1" applyFill="1" applyBorder="1" applyAlignment="1" applyProtection="1"/>
    <xf numFmtId="0" fontId="6" fillId="0" borderId="18" xfId="0" applyFont="1" applyFill="1" applyBorder="1" applyAlignment="1" applyProtection="1"/>
    <xf numFmtId="0" fontId="6" fillId="0" borderId="38" xfId="0" applyFont="1" applyFill="1" applyBorder="1" applyAlignment="1" applyProtection="1"/>
    <xf numFmtId="0" fontId="6" fillId="0" borderId="0" xfId="0" applyFont="1" applyFill="1" applyAlignment="1" applyProtection="1"/>
    <xf numFmtId="0" fontId="6" fillId="0" borderId="39" xfId="0" applyFont="1" applyBorder="1" applyAlignment="1" applyProtection="1"/>
    <xf numFmtId="0" fontId="6" fillId="0" borderId="0" xfId="0" applyFont="1" applyBorder="1" applyAlignment="1" applyProtection="1"/>
    <xf numFmtId="0" fontId="3" fillId="0" borderId="0" xfId="0" applyFont="1" applyFill="1" applyAlignment="1" applyProtection="1"/>
    <xf numFmtId="1" fontId="4" fillId="0" borderId="0" xfId="0" applyNumberFormat="1" applyFont="1" applyFill="1" applyBorder="1" applyAlignment="1" applyProtection="1">
      <alignment horizontal="center"/>
    </xf>
    <xf numFmtId="0" fontId="4" fillId="0" borderId="0" xfId="0" applyFont="1" applyAlignment="1" applyProtection="1">
      <alignment horizontal="center"/>
    </xf>
    <xf numFmtId="0" fontId="4" fillId="0" borderId="0" xfId="0" applyFont="1" applyAlignment="1" applyProtection="1">
      <alignment horizontal="center" wrapText="1"/>
    </xf>
    <xf numFmtId="0" fontId="4" fillId="0" borderId="0" xfId="0" applyFont="1" applyFill="1" applyAlignment="1" applyProtection="1">
      <alignment horizontal="center"/>
    </xf>
    <xf numFmtId="0" fontId="8" fillId="0" borderId="50" xfId="0" applyFont="1" applyFill="1" applyBorder="1" applyAlignment="1" applyProtection="1"/>
    <xf numFmtId="1" fontId="12" fillId="0" borderId="50" xfId="0" applyNumberFormat="1" applyFont="1" applyFill="1" applyBorder="1" applyAlignment="1" applyProtection="1">
      <alignment horizontal="center" wrapText="1"/>
    </xf>
    <xf numFmtId="0" fontId="12" fillId="0" borderId="50" xfId="0" applyFont="1" applyBorder="1" applyAlignment="1" applyProtection="1">
      <alignment horizontal="center" wrapText="1"/>
    </xf>
    <xf numFmtId="0" fontId="12" fillId="0" borderId="50" xfId="0" applyFont="1" applyFill="1" applyBorder="1" applyAlignment="1" applyProtection="1">
      <alignment horizontal="center" wrapText="1"/>
    </xf>
    <xf numFmtId="0" fontId="4" fillId="0" borderId="50" xfId="0" applyFont="1" applyBorder="1" applyAlignment="1" applyProtection="1">
      <alignment horizontal="center" wrapText="1"/>
    </xf>
    <xf numFmtId="0" fontId="8" fillId="0" borderId="36" xfId="0" applyFont="1" applyBorder="1" applyAlignment="1" applyProtection="1"/>
    <xf numFmtId="1" fontId="19" fillId="0" borderId="54" xfId="0" applyNumberFormat="1" applyFont="1" applyFill="1" applyBorder="1" applyAlignment="1" applyProtection="1"/>
    <xf numFmtId="0" fontId="3" fillId="0" borderId="54" xfId="0" applyFont="1" applyBorder="1" applyAlignment="1" applyProtection="1">
      <alignment horizontal="left" vertical="top" wrapText="1"/>
    </xf>
    <xf numFmtId="0" fontId="5" fillId="0" borderId="54" xfId="0" applyFont="1" applyFill="1" applyBorder="1" applyAlignment="1" applyProtection="1"/>
    <xf numFmtId="0" fontId="5" fillId="0" borderId="37" xfId="0" applyFont="1" applyFill="1" applyBorder="1" applyAlignment="1" applyProtection="1"/>
    <xf numFmtId="0" fontId="2" fillId="0" borderId="18" xfId="0" applyFont="1" applyBorder="1" applyAlignment="1" applyProtection="1">
      <alignment horizontal="left" indent="1"/>
    </xf>
    <xf numFmtId="167" fontId="8" fillId="0" borderId="0" xfId="0" applyNumberFormat="1" applyFont="1" applyBorder="1" applyAlignment="1" applyProtection="1">
      <alignment horizontal="center" wrapText="1"/>
    </xf>
    <xf numFmtId="0" fontId="2" fillId="0" borderId="0" xfId="0" applyFont="1" applyBorder="1" applyAlignment="1" applyProtection="1">
      <alignment horizontal="center"/>
    </xf>
    <xf numFmtId="0" fontId="2" fillId="0" borderId="0" xfId="0" applyFont="1" applyFill="1" applyBorder="1" applyAlignment="1" applyProtection="1">
      <alignment horizontal="center"/>
    </xf>
    <xf numFmtId="173" fontId="8" fillId="0" borderId="0" xfId="0" applyNumberFormat="1" applyFont="1" applyBorder="1" applyAlignment="1" applyProtection="1">
      <alignment horizontal="right" wrapText="1"/>
    </xf>
    <xf numFmtId="167" fontId="2" fillId="0" borderId="0" xfId="0" applyNumberFormat="1" applyFont="1" applyFill="1" applyBorder="1" applyAlignment="1" applyProtection="1"/>
    <xf numFmtId="173" fontId="8" fillId="0" borderId="2" xfId="0" applyNumberFormat="1" applyFont="1" applyBorder="1" applyAlignment="1" applyProtection="1">
      <alignment horizontal="right" wrapText="1"/>
    </xf>
    <xf numFmtId="167" fontId="8" fillId="0" borderId="17" xfId="0" applyNumberFormat="1" applyFont="1" applyFill="1" applyBorder="1" applyAlignment="1" applyProtection="1"/>
    <xf numFmtId="1" fontId="19" fillId="0" borderId="0" xfId="0" applyNumberFormat="1" applyFont="1" applyFill="1" applyBorder="1" applyAlignment="1" applyProtection="1"/>
    <xf numFmtId="0" fontId="3" fillId="0" borderId="0" xfId="0" applyFont="1" applyBorder="1" applyAlignment="1" applyProtection="1">
      <alignment horizontal="left" vertical="top" wrapText="1"/>
    </xf>
    <xf numFmtId="173" fontId="8" fillId="0" borderId="12" xfId="0" applyNumberFormat="1" applyFont="1" applyBorder="1" applyAlignment="1" applyProtection="1">
      <alignment horizontal="right" wrapText="1"/>
    </xf>
    <xf numFmtId="0" fontId="5" fillId="0" borderId="0" xfId="0" applyFont="1" applyFill="1" applyBorder="1" applyAlignment="1" applyProtection="1"/>
    <xf numFmtId="167" fontId="8" fillId="0" borderId="25" xfId="0" applyNumberFormat="1" applyFont="1" applyBorder="1" applyAlignment="1" applyProtection="1">
      <alignment horizontal="right" wrapText="1"/>
    </xf>
    <xf numFmtId="0" fontId="3" fillId="0" borderId="0" xfId="0" applyFont="1" applyBorder="1" applyAlignment="1" applyProtection="1">
      <alignment vertical="top" wrapText="1"/>
    </xf>
    <xf numFmtId="0" fontId="5" fillId="0" borderId="19" xfId="0" applyFont="1" applyFill="1" applyBorder="1" applyAlignment="1" applyProtection="1"/>
    <xf numFmtId="0" fontId="8" fillId="0" borderId="0" xfId="0" applyFont="1" applyFill="1" applyBorder="1" applyAlignment="1" applyProtection="1">
      <alignment horizontal="right"/>
    </xf>
    <xf numFmtId="10" fontId="8" fillId="0" borderId="25" xfId="15" applyNumberFormat="1" applyFont="1" applyFill="1" applyBorder="1" applyAlignment="1" applyProtection="1"/>
    <xf numFmtId="1" fontId="19" fillId="0" borderId="1" xfId="0" applyNumberFormat="1" applyFont="1" applyFill="1" applyBorder="1" applyAlignment="1" applyProtection="1"/>
    <xf numFmtId="0" fontId="3" fillId="0" borderId="1" xfId="0" applyFont="1" applyBorder="1" applyAlignment="1" applyProtection="1">
      <alignment vertical="top" wrapText="1"/>
    </xf>
    <xf numFmtId="0" fontId="8" fillId="0" borderId="1" xfId="0" applyFont="1" applyFill="1" applyBorder="1" applyAlignment="1" applyProtection="1">
      <alignment horizontal="right"/>
    </xf>
    <xf numFmtId="10" fontId="8" fillId="0" borderId="23" xfId="15" applyNumberFormat="1" applyFont="1" applyFill="1" applyBorder="1" applyAlignment="1" applyProtection="1"/>
    <xf numFmtId="0" fontId="3" fillId="0" borderId="0" xfId="0" applyFont="1" applyAlignment="1" applyProtection="1">
      <alignment vertical="top" wrapText="1"/>
    </xf>
    <xf numFmtId="10" fontId="8" fillId="0" borderId="0" xfId="15" applyNumberFormat="1" applyFont="1" applyFill="1" applyAlignment="1" applyProtection="1"/>
    <xf numFmtId="173" fontId="16" fillId="0" borderId="44" xfId="0" applyNumberFormat="1" applyFont="1" applyFill="1" applyBorder="1" applyAlignment="1" applyProtection="1">
      <alignment horizontal="center" wrapText="1"/>
    </xf>
    <xf numFmtId="173" fontId="16" fillId="0" borderId="19" xfId="0" applyNumberFormat="1" applyFont="1" applyFill="1" applyBorder="1" applyAlignment="1" applyProtection="1">
      <alignment vertical="center" wrapText="1"/>
    </xf>
    <xf numFmtId="0" fontId="8" fillId="0" borderId="42" xfId="0" applyFont="1" applyFill="1" applyBorder="1" applyAlignment="1" applyProtection="1">
      <alignment horizontal="center"/>
    </xf>
    <xf numFmtId="10" fontId="2" fillId="0" borderId="38" xfId="0" applyNumberFormat="1" applyFont="1" applyBorder="1" applyAlignment="1" applyProtection="1"/>
    <xf numFmtId="10" fontId="2" fillId="0" borderId="46" xfId="0" applyNumberFormat="1" applyFont="1" applyBorder="1" applyAlignment="1" applyProtection="1"/>
    <xf numFmtId="10" fontId="2" fillId="0" borderId="19" xfId="0" applyNumberFormat="1" applyFont="1" applyBorder="1" applyAlignment="1" applyProtection="1"/>
    <xf numFmtId="0" fontId="3" fillId="0" borderId="37" xfId="0" applyFont="1" applyBorder="1" applyAlignment="1" applyProtection="1">
      <alignment vertical="top" wrapText="1"/>
    </xf>
    <xf numFmtId="9" fontId="2" fillId="0" borderId="38" xfId="0" applyNumberFormat="1" applyFont="1" applyBorder="1" applyAlignment="1" applyProtection="1"/>
    <xf numFmtId="9" fontId="2" fillId="0" borderId="46" xfId="0" applyNumberFormat="1" applyFont="1" applyBorder="1" applyAlignment="1" applyProtection="1"/>
    <xf numFmtId="9" fontId="2" fillId="0" borderId="19" xfId="0" applyNumberFormat="1" applyFont="1" applyBorder="1" applyAlignment="1" applyProtection="1"/>
    <xf numFmtId="0" fontId="3" fillId="0" borderId="19" xfId="0" applyFont="1" applyBorder="1" applyAlignment="1" applyProtection="1">
      <alignment vertical="top" wrapText="1"/>
    </xf>
    <xf numFmtId="0" fontId="3" fillId="0" borderId="18" xfId="0" applyFont="1" applyBorder="1" applyAlignment="1" applyProtection="1"/>
    <xf numFmtId="173" fontId="8" fillId="0" borderId="38" xfId="0" applyNumberFormat="1" applyFont="1" applyBorder="1" applyAlignment="1" applyProtection="1"/>
    <xf numFmtId="173" fontId="8" fillId="0" borderId="46" xfId="0" applyNumberFormat="1" applyFont="1" applyBorder="1" applyAlignment="1" applyProtection="1"/>
    <xf numFmtId="173" fontId="8" fillId="0" borderId="19" xfId="0" applyNumberFormat="1" applyFont="1" applyBorder="1" applyAlignment="1" applyProtection="1"/>
    <xf numFmtId="173" fontId="8" fillId="0" borderId="19" xfId="0" applyNumberFormat="1" applyFont="1" applyBorder="1" applyAlignment="1" applyProtection="1">
      <alignment horizontal="right" wrapText="1"/>
    </xf>
    <xf numFmtId="165" fontId="2" fillId="0" borderId="38" xfId="0" applyNumberFormat="1" applyFont="1" applyBorder="1" applyAlignment="1" applyProtection="1"/>
    <xf numFmtId="0" fontId="3" fillId="5" borderId="20" xfId="0" applyFont="1" applyFill="1" applyBorder="1" applyAlignment="1" applyProtection="1">
      <alignment vertical="center"/>
    </xf>
    <xf numFmtId="0" fontId="6" fillId="5" borderId="23" xfId="0" applyFont="1" applyFill="1" applyBorder="1" applyAlignment="1" applyProtection="1">
      <alignment horizontal="left" vertical="center"/>
    </xf>
    <xf numFmtId="173" fontId="6" fillId="5" borderId="39" xfId="0" applyNumberFormat="1" applyFont="1" applyFill="1" applyBorder="1" applyAlignment="1" applyProtection="1">
      <alignment vertical="center"/>
    </xf>
    <xf numFmtId="173" fontId="6" fillId="5" borderId="51" xfId="0" applyNumberFormat="1" applyFont="1" applyFill="1" applyBorder="1" applyAlignment="1" applyProtection="1">
      <alignment vertical="center"/>
    </xf>
    <xf numFmtId="173" fontId="6" fillId="5" borderId="23" xfId="0" applyNumberFormat="1" applyFont="1" applyFill="1" applyBorder="1" applyAlignment="1" applyProtection="1">
      <alignment vertical="center"/>
    </xf>
    <xf numFmtId="173" fontId="6" fillId="5" borderId="23" xfId="0" applyNumberFormat="1" applyFont="1" applyFill="1" applyBorder="1" applyAlignment="1" applyProtection="1">
      <alignment horizontal="right" vertical="center" wrapText="1"/>
    </xf>
    <xf numFmtId="0" fontId="8" fillId="0" borderId="0" xfId="0" applyFont="1" applyFill="1" applyBorder="1" applyAlignment="1" applyProtection="1">
      <alignment horizontal="left"/>
    </xf>
    <xf numFmtId="173" fontId="8" fillId="0" borderId="0" xfId="0" applyNumberFormat="1" applyFont="1" applyBorder="1" applyAlignment="1" applyProtection="1"/>
    <xf numFmtId="10" fontId="2" fillId="0" borderId="0" xfId="0" applyNumberFormat="1" applyFont="1" applyAlignment="1" applyProtection="1"/>
    <xf numFmtId="0" fontId="0" fillId="0" borderId="2" xfId="0" applyBorder="1" applyAlignment="1" applyProtection="1"/>
    <xf numFmtId="167" fontId="2" fillId="0" borderId="0" xfId="10" applyProtection="1">
      <alignment vertical="top"/>
    </xf>
    <xf numFmtId="166" fontId="0" fillId="0" borderId="0" xfId="0" applyNumberFormat="1" applyAlignment="1" applyProtection="1"/>
    <xf numFmtId="167" fontId="0" fillId="0" borderId="0" xfId="0" applyNumberFormat="1" applyAlignment="1" applyProtection="1"/>
    <xf numFmtId="0" fontId="27" fillId="0" borderId="0" xfId="0" applyFont="1" applyBorder="1" applyAlignment="1" applyProtection="1">
      <alignment horizontal="left" vertical="top"/>
    </xf>
    <xf numFmtId="167" fontId="11" fillId="0" borderId="0" xfId="10" applyFont="1" applyFill="1" applyProtection="1">
      <alignment vertical="top"/>
    </xf>
    <xf numFmtId="165" fontId="2" fillId="0" borderId="19" xfId="0" applyNumberFormat="1" applyFont="1" applyBorder="1" applyAlignment="1" applyProtection="1"/>
    <xf numFmtId="165" fontId="2" fillId="0" borderId="46" xfId="0" applyNumberFormat="1" applyFont="1" applyBorder="1" applyAlignment="1" applyProtection="1"/>
    <xf numFmtId="0" fontId="9" fillId="0" borderId="36" xfId="0" applyFont="1" applyFill="1" applyBorder="1" applyAlignment="1" applyProtection="1"/>
    <xf numFmtId="0" fontId="9" fillId="0" borderId="18" xfId="0" applyFont="1" applyFill="1" applyBorder="1" applyAlignment="1" applyProtection="1"/>
    <xf numFmtId="173" fontId="8" fillId="0" borderId="38" xfId="0" applyNumberFormat="1" applyFont="1" applyFill="1" applyBorder="1" applyAlignment="1" applyProtection="1">
      <alignment vertical="center"/>
    </xf>
    <xf numFmtId="0" fontId="2" fillId="0" borderId="0" xfId="0" applyFont="1" applyAlignment="1" applyProtection="1">
      <alignment vertical="center"/>
    </xf>
    <xf numFmtId="173" fontId="2" fillId="0" borderId="0" xfId="0" applyNumberFormat="1" applyFont="1" applyAlignment="1"/>
    <xf numFmtId="0" fontId="8" fillId="0" borderId="3" xfId="0" applyFont="1" applyBorder="1" applyAlignment="1">
      <alignment horizontal="center" wrapText="1"/>
    </xf>
    <xf numFmtId="0" fontId="26" fillId="0" borderId="2" xfId="0" applyFont="1" applyBorder="1" applyAlignment="1" applyProtection="1"/>
    <xf numFmtId="0" fontId="25" fillId="0" borderId="2" xfId="0" applyFont="1" applyBorder="1" applyAlignment="1" applyProtection="1">
      <alignment horizontal="right"/>
    </xf>
    <xf numFmtId="0" fontId="6" fillId="5" borderId="12" xfId="0" applyFont="1" applyFill="1" applyBorder="1" applyAlignment="1">
      <alignment horizontal="right"/>
    </xf>
    <xf numFmtId="173" fontId="6" fillId="5" borderId="12" xfId="0" applyNumberFormat="1" applyFont="1" applyFill="1" applyBorder="1" applyAlignment="1"/>
    <xf numFmtId="0" fontId="2" fillId="0" borderId="0" xfId="0" applyFont="1" applyAlignment="1">
      <alignment horizontal="center"/>
    </xf>
    <xf numFmtId="1" fontId="19" fillId="0" borderId="0" xfId="0" applyNumberFormat="1" applyFont="1" applyFill="1" applyBorder="1" applyAlignment="1" applyProtection="1">
      <protection locked="0"/>
    </xf>
    <xf numFmtId="0" fontId="8" fillId="0" borderId="23" xfId="0" applyNumberFormat="1" applyFont="1" applyFill="1" applyBorder="1" applyAlignment="1" applyProtection="1"/>
    <xf numFmtId="1" fontId="19" fillId="0" borderId="39" xfId="0" applyNumberFormat="1" applyFont="1" applyFill="1" applyBorder="1" applyAlignment="1" applyProtection="1">
      <protection locked="0"/>
    </xf>
    <xf numFmtId="1" fontId="19" fillId="0" borderId="23" xfId="0" applyNumberFormat="1" applyFont="1" applyFill="1" applyBorder="1" applyAlignment="1" applyProtection="1">
      <protection locked="0"/>
    </xf>
    <xf numFmtId="1" fontId="19" fillId="0" borderId="51" xfId="0" applyNumberFormat="1" applyFont="1" applyFill="1" applyBorder="1" applyAlignment="1" applyProtection="1">
      <protection locked="0"/>
    </xf>
    <xf numFmtId="0" fontId="8" fillId="0" borderId="19" xfId="0" applyNumberFormat="1" applyFont="1" applyFill="1" applyBorder="1" applyAlignment="1" applyProtection="1"/>
    <xf numFmtId="2" fontId="19" fillId="0" borderId="38" xfId="0" applyNumberFormat="1" applyFont="1" applyFill="1" applyBorder="1" applyAlignment="1" applyProtection="1">
      <protection locked="0"/>
    </xf>
    <xf numFmtId="9" fontId="11" fillId="0" borderId="18" xfId="0" applyNumberFormat="1" applyFont="1" applyFill="1" applyBorder="1" applyAlignment="1" applyProtection="1"/>
    <xf numFmtId="9" fontId="11" fillId="0" borderId="46" xfId="0" applyNumberFormat="1" applyFont="1" applyFill="1" applyBorder="1" applyAlignment="1" applyProtection="1"/>
    <xf numFmtId="9" fontId="11" fillId="0" borderId="0" xfId="0" applyNumberFormat="1" applyFont="1" applyFill="1" applyBorder="1" applyAlignment="1" applyProtection="1"/>
    <xf numFmtId="9" fontId="11" fillId="0" borderId="38" xfId="0" applyNumberFormat="1" applyFont="1" applyFill="1" applyBorder="1" applyAlignment="1" applyProtection="1"/>
    <xf numFmtId="0" fontId="0" fillId="0" borderId="0" xfId="0" applyBorder="1" applyAlignment="1" applyProtection="1"/>
    <xf numFmtId="0" fontId="26" fillId="0" borderId="0" xfId="0" applyFont="1" applyFill="1" applyBorder="1" applyAlignment="1" applyProtection="1">
      <alignment horizontal="right"/>
    </xf>
    <xf numFmtId="0" fontId="46" fillId="0" borderId="0" xfId="0" applyFont="1" applyAlignment="1">
      <alignment wrapText="1"/>
    </xf>
    <xf numFmtId="0" fontId="8" fillId="0" borderId="19" xfId="0" applyFont="1" applyFill="1" applyBorder="1" applyAlignment="1" applyProtection="1">
      <alignment horizontal="right"/>
    </xf>
    <xf numFmtId="0" fontId="9" fillId="0" borderId="19" xfId="0" applyFont="1" applyFill="1" applyBorder="1" applyAlignment="1" applyProtection="1"/>
    <xf numFmtId="0" fontId="8" fillId="2" borderId="19" xfId="0" applyFont="1" applyFill="1" applyBorder="1" applyAlignment="1" applyProtection="1">
      <alignment horizontal="right"/>
    </xf>
    <xf numFmtId="1" fontId="19" fillId="2" borderId="38" xfId="0" applyNumberFormat="1" applyFont="1" applyFill="1" applyBorder="1" applyAlignment="1" applyProtection="1">
      <protection locked="0"/>
    </xf>
    <xf numFmtId="0" fontId="8" fillId="2" borderId="19" xfId="0" applyNumberFormat="1" applyFont="1" applyFill="1" applyBorder="1" applyAlignment="1" applyProtection="1"/>
    <xf numFmtId="0" fontId="2" fillId="7" borderId="2" xfId="0" applyFont="1" applyFill="1" applyBorder="1" applyAlignment="1"/>
    <xf numFmtId="0" fontId="2" fillId="7" borderId="0" xfId="0" applyFont="1" applyFill="1" applyBorder="1" applyAlignment="1">
      <alignment horizontal="left" wrapText="1"/>
    </xf>
    <xf numFmtId="0" fontId="8" fillId="7" borderId="0" xfId="0" applyFont="1" applyFill="1" applyAlignment="1"/>
    <xf numFmtId="0" fontId="2" fillId="7" borderId="0" xfId="0" applyFont="1" applyFill="1" applyAlignment="1"/>
    <xf numFmtId="171" fontId="2" fillId="9" borderId="0" xfId="0" applyNumberFormat="1" applyFont="1" applyFill="1" applyAlignment="1">
      <alignment horizontal="center"/>
    </xf>
    <xf numFmtId="0" fontId="2" fillId="9" borderId="0" xfId="0" applyFont="1" applyFill="1" applyBorder="1" applyAlignment="1">
      <alignment horizontal="left" wrapText="1"/>
    </xf>
    <xf numFmtId="1" fontId="8" fillId="0" borderId="38" xfId="0" applyNumberFormat="1" applyFont="1" applyFill="1" applyBorder="1" applyAlignment="1" applyProtection="1"/>
    <xf numFmtId="2" fontId="19" fillId="4" borderId="0" xfId="0" applyNumberFormat="1" applyFont="1" applyFill="1" applyBorder="1" applyAlignment="1" applyProtection="1">
      <protection locked="0"/>
    </xf>
    <xf numFmtId="2" fontId="19" fillId="0" borderId="38" xfId="0" applyNumberFormat="1" applyFont="1" applyFill="1" applyBorder="1" applyAlignment="1" applyProtection="1">
      <alignment horizontal="right"/>
      <protection locked="0"/>
    </xf>
    <xf numFmtId="0" fontId="49" fillId="0" borderId="19" xfId="0" applyFont="1" applyFill="1" applyBorder="1" applyAlignment="1" applyProtection="1">
      <alignment horizontal="right"/>
    </xf>
    <xf numFmtId="2" fontId="19" fillId="0" borderId="19" xfId="0" applyNumberFormat="1" applyFont="1" applyFill="1" applyBorder="1" applyAlignment="1" applyProtection="1">
      <alignment horizontal="right"/>
      <protection locked="0"/>
    </xf>
    <xf numFmtId="2" fontId="8" fillId="0" borderId="38" xfId="0" applyNumberFormat="1" applyFont="1" applyFill="1" applyBorder="1" applyAlignment="1" applyProtection="1"/>
    <xf numFmtId="2" fontId="8" fillId="4" borderId="38" xfId="0" applyNumberFormat="1" applyFont="1" applyFill="1" applyBorder="1" applyAlignment="1" applyProtection="1">
      <protection locked="0"/>
    </xf>
    <xf numFmtId="1" fontId="19" fillId="0" borderId="46" xfId="0" applyNumberFormat="1" applyFont="1" applyFill="1" applyBorder="1" applyAlignment="1" applyProtection="1">
      <protection locked="0"/>
    </xf>
    <xf numFmtId="2" fontId="8" fillId="0" borderId="46" xfId="0" applyNumberFormat="1" applyFont="1" applyFill="1" applyBorder="1" applyAlignment="1" applyProtection="1"/>
    <xf numFmtId="2" fontId="19" fillId="0" borderId="46" xfId="0" applyNumberFormat="1" applyFont="1" applyFill="1" applyBorder="1" applyAlignment="1" applyProtection="1">
      <alignment horizontal="right"/>
      <protection locked="0"/>
    </xf>
    <xf numFmtId="2" fontId="19" fillId="4" borderId="46" xfId="0" applyNumberFormat="1" applyFont="1" applyFill="1" applyBorder="1" applyAlignment="1" applyProtection="1">
      <protection locked="0"/>
    </xf>
    <xf numFmtId="1" fontId="19" fillId="0" borderId="57" xfId="0" applyNumberFormat="1" applyFont="1" applyFill="1" applyBorder="1" applyAlignment="1" applyProtection="1">
      <protection locked="0"/>
    </xf>
    <xf numFmtId="2" fontId="8" fillId="0" borderId="57" xfId="0" applyNumberFormat="1" applyFont="1" applyFill="1" applyBorder="1" applyAlignment="1" applyProtection="1"/>
    <xf numFmtId="2" fontId="19" fillId="0" borderId="57" xfId="0" applyNumberFormat="1" applyFont="1" applyFill="1" applyBorder="1" applyAlignment="1" applyProtection="1">
      <alignment horizontal="right"/>
      <protection locked="0"/>
    </xf>
    <xf numFmtId="2" fontId="19" fillId="4" borderId="57" xfId="0" applyNumberFormat="1" applyFont="1" applyFill="1" applyBorder="1" applyAlignment="1" applyProtection="1">
      <protection locked="0"/>
    </xf>
    <xf numFmtId="7" fontId="8" fillId="0" borderId="8" xfId="0" applyNumberFormat="1" applyFont="1" applyFill="1" applyBorder="1" applyAlignment="1" applyProtection="1"/>
    <xf numFmtId="7" fontId="8" fillId="0" borderId="19" xfId="0" applyNumberFormat="1" applyFont="1" applyFill="1" applyBorder="1" applyAlignment="1" applyProtection="1"/>
    <xf numFmtId="0" fontId="3" fillId="0" borderId="0" xfId="0" applyFont="1" applyFill="1" applyBorder="1" applyAlignment="1" applyProtection="1">
      <alignment horizontal="right" wrapText="1"/>
    </xf>
    <xf numFmtId="7" fontId="7" fillId="7" borderId="21" xfId="0" applyNumberFormat="1" applyFont="1" applyFill="1" applyBorder="1" applyAlignment="1" applyProtection="1">
      <protection locked="0"/>
    </xf>
    <xf numFmtId="171" fontId="19" fillId="3" borderId="18" xfId="0" applyNumberFormat="1" applyFont="1" applyFill="1" applyBorder="1" applyAlignment="1"/>
    <xf numFmtId="0" fontId="19" fillId="3" borderId="20" xfId="0" applyFont="1" applyFill="1" applyBorder="1" applyAlignment="1"/>
    <xf numFmtId="7" fontId="7" fillId="3" borderId="21" xfId="0" applyNumberFormat="1" applyFont="1" applyFill="1" applyBorder="1" applyAlignment="1" applyProtection="1">
      <protection locked="0"/>
    </xf>
    <xf numFmtId="0" fontId="19" fillId="3" borderId="22" xfId="0" applyFont="1" applyFill="1" applyBorder="1" applyAlignment="1"/>
    <xf numFmtId="167" fontId="8" fillId="0" borderId="3" xfId="0" applyNumberFormat="1" applyFont="1" applyBorder="1" applyAlignment="1">
      <alignment horizontal="right"/>
    </xf>
    <xf numFmtId="167" fontId="19" fillId="3" borderId="3" xfId="0" applyNumberFormat="1" applyFont="1" applyFill="1" applyBorder="1" applyAlignment="1">
      <alignment horizontal="right"/>
    </xf>
    <xf numFmtId="171" fontId="19" fillId="3" borderId="0" xfId="0" applyNumberFormat="1" applyFont="1" applyFill="1" applyBorder="1" applyAlignment="1"/>
    <xf numFmtId="7" fontId="7" fillId="3" borderId="7" xfId="0" applyNumberFormat="1" applyFont="1" applyFill="1" applyBorder="1" applyAlignment="1" applyProtection="1">
      <protection locked="0"/>
    </xf>
    <xf numFmtId="7" fontId="7" fillId="3" borderId="15" xfId="0" applyNumberFormat="1" applyFont="1" applyFill="1" applyBorder="1" applyAlignment="1" applyProtection="1">
      <protection locked="0"/>
    </xf>
    <xf numFmtId="0" fontId="32" fillId="6" borderId="0" xfId="0" applyFont="1" applyFill="1" applyAlignment="1" applyProtection="1">
      <alignment horizontal="center"/>
    </xf>
    <xf numFmtId="0" fontId="48" fillId="0" borderId="0" xfId="0" applyFont="1" applyBorder="1" applyAlignment="1" applyProtection="1">
      <alignment horizontal="left" vertical="center" wrapText="1"/>
    </xf>
    <xf numFmtId="0" fontId="46" fillId="0" borderId="0" xfId="0" applyFont="1" applyAlignment="1">
      <alignment horizontal="left" vertical="center" wrapText="1"/>
    </xf>
    <xf numFmtId="167" fontId="24" fillId="0" borderId="0" xfId="2" applyNumberFormat="1" applyFont="1" applyFill="1" applyAlignment="1" applyProtection="1">
      <alignment horizontal="left" vertical="top"/>
    </xf>
    <xf numFmtId="0" fontId="8" fillId="0" borderId="41" xfId="0" applyFont="1" applyFill="1" applyBorder="1" applyAlignment="1" applyProtection="1">
      <alignment horizontal="center" wrapText="1"/>
    </xf>
    <xf numFmtId="0" fontId="8" fillId="0" borderId="42" xfId="0" applyFont="1" applyFill="1" applyBorder="1" applyAlignment="1" applyProtection="1">
      <alignment horizontal="center" wrapText="1"/>
    </xf>
    <xf numFmtId="0" fontId="8" fillId="0" borderId="52" xfId="0" applyFont="1" applyFill="1" applyBorder="1" applyAlignment="1" applyProtection="1">
      <alignment horizontal="center" wrapText="1"/>
    </xf>
    <xf numFmtId="171" fontId="3" fillId="0" borderId="54" xfId="0" applyNumberFormat="1" applyFont="1" applyFill="1" applyBorder="1" applyAlignment="1" applyProtection="1">
      <alignment horizontal="left" wrapText="1"/>
    </xf>
    <xf numFmtId="171" fontId="3" fillId="0" borderId="0" xfId="0" applyNumberFormat="1" applyFont="1" applyFill="1" applyBorder="1" applyAlignment="1" applyProtection="1">
      <alignment horizontal="left" wrapText="1"/>
    </xf>
    <xf numFmtId="173" fontId="19" fillId="5" borderId="49" xfId="0" applyNumberFormat="1" applyFont="1" applyFill="1" applyBorder="1" applyAlignment="1" applyProtection="1">
      <alignment horizontal="center" vertical="center"/>
      <protection locked="0"/>
    </xf>
    <xf numFmtId="173" fontId="19" fillId="5" borderId="40" xfId="0" applyNumberFormat="1" applyFont="1" applyFill="1" applyBorder="1" applyAlignment="1" applyProtection="1">
      <alignment horizontal="center" vertical="center"/>
      <protection locked="0"/>
    </xf>
    <xf numFmtId="0" fontId="8" fillId="0" borderId="10" xfId="0" applyFont="1" applyBorder="1" applyAlignment="1" applyProtection="1">
      <alignment horizontal="center"/>
    </xf>
    <xf numFmtId="0" fontId="8" fillId="0" borderId="12" xfId="0" applyFont="1" applyBorder="1" applyAlignment="1" applyProtection="1">
      <alignment horizontal="center"/>
    </xf>
    <xf numFmtId="0" fontId="8" fillId="0" borderId="11" xfId="0" applyFont="1" applyBorder="1" applyAlignment="1" applyProtection="1">
      <alignment horizontal="center"/>
    </xf>
    <xf numFmtId="0" fontId="8" fillId="0" borderId="2" xfId="0" applyFont="1" applyBorder="1" applyAlignment="1">
      <alignment horizontal="center"/>
    </xf>
    <xf numFmtId="0" fontId="2" fillId="0" borderId="24" xfId="0" applyFont="1" applyBorder="1" applyAlignment="1">
      <alignment horizontal="center"/>
    </xf>
    <xf numFmtId="0" fontId="2" fillId="0" borderId="11" xfId="0" applyFont="1" applyBorder="1" applyAlignment="1">
      <alignment horizontal="center"/>
    </xf>
    <xf numFmtId="0" fontId="2" fillId="0" borderId="10" xfId="0" applyFont="1" applyBorder="1" applyAlignment="1">
      <alignment horizontal="center"/>
    </xf>
    <xf numFmtId="0" fontId="2" fillId="0" borderId="25" xfId="0" applyFont="1" applyBorder="1" applyAlignment="1">
      <alignment horizontal="center"/>
    </xf>
    <xf numFmtId="0" fontId="8" fillId="0" borderId="26" xfId="0" applyFont="1" applyBorder="1" applyAlignment="1">
      <alignment horizontal="center"/>
    </xf>
    <xf numFmtId="0" fontId="8" fillId="0" borderId="27" xfId="0" applyFont="1" applyBorder="1" applyAlignment="1">
      <alignment horizontal="center"/>
    </xf>
    <xf numFmtId="0" fontId="8" fillId="0" borderId="28" xfId="0" applyFont="1" applyBorder="1" applyAlignment="1">
      <alignment horizontal="center"/>
    </xf>
    <xf numFmtId="0" fontId="8" fillId="4" borderId="10" xfId="0" applyFont="1" applyFill="1" applyBorder="1" applyAlignment="1">
      <alignment horizontal="center"/>
    </xf>
    <xf numFmtId="0" fontId="8" fillId="4" borderId="12" xfId="0" applyFont="1" applyFill="1" applyBorder="1" applyAlignment="1">
      <alignment horizontal="center"/>
    </xf>
    <xf numFmtId="0" fontId="8" fillId="4" borderId="11" xfId="0" applyFont="1" applyFill="1" applyBorder="1" applyAlignment="1">
      <alignment horizontal="center"/>
    </xf>
    <xf numFmtId="0" fontId="2" fillId="4" borderId="9" xfId="0" applyFont="1" applyFill="1" applyBorder="1" applyAlignment="1">
      <alignment horizontal="center"/>
    </xf>
    <xf numFmtId="0" fontId="2" fillId="4" borderId="0" xfId="0" applyFont="1" applyFill="1" applyBorder="1" applyAlignment="1">
      <alignment horizontal="center"/>
    </xf>
    <xf numFmtId="0" fontId="2" fillId="4" borderId="8" xfId="0" applyFont="1" applyFill="1" applyBorder="1" applyAlignment="1">
      <alignment horizontal="center"/>
    </xf>
    <xf numFmtId="0" fontId="8" fillId="0" borderId="10" xfId="0" applyFont="1" applyBorder="1" applyAlignment="1">
      <alignment horizontal="center"/>
    </xf>
    <xf numFmtId="0" fontId="8" fillId="0" borderId="12" xfId="0" applyFont="1" applyBorder="1" applyAlignment="1">
      <alignment horizontal="center"/>
    </xf>
    <xf numFmtId="0" fontId="8" fillId="0" borderId="11" xfId="0" applyFont="1" applyBorder="1" applyAlignment="1">
      <alignment horizontal="center"/>
    </xf>
    <xf numFmtId="0" fontId="2" fillId="0" borderId="9" xfId="0" applyFont="1" applyBorder="1" applyAlignment="1">
      <alignment horizontal="center"/>
    </xf>
    <xf numFmtId="0" fontId="2" fillId="0" borderId="0" xfId="0" applyFont="1" applyBorder="1" applyAlignment="1">
      <alignment horizontal="center"/>
    </xf>
    <xf numFmtId="0" fontId="2" fillId="0" borderId="8" xfId="0" applyFont="1" applyBorder="1" applyAlignment="1">
      <alignment horizontal="center"/>
    </xf>
    <xf numFmtId="9" fontId="2" fillId="2" borderId="6" xfId="0" applyNumberFormat="1" applyFont="1" applyFill="1" applyBorder="1" applyAlignment="1" applyProtection="1">
      <alignment horizontal="center"/>
    </xf>
    <xf numFmtId="0" fontId="8" fillId="2" borderId="26" xfId="0" applyFont="1" applyFill="1" applyBorder="1" applyAlignment="1">
      <alignment horizontal="center"/>
    </xf>
    <xf numFmtId="0" fontId="8" fillId="2" borderId="27" xfId="0" applyFont="1" applyFill="1" applyBorder="1" applyAlignment="1">
      <alignment horizontal="center"/>
    </xf>
    <xf numFmtId="0" fontId="8" fillId="2" borderId="28" xfId="0" applyFont="1" applyFill="1" applyBorder="1" applyAlignment="1">
      <alignment horizontal="center"/>
    </xf>
    <xf numFmtId="0" fontId="8" fillId="8" borderId="26" xfId="0" applyFont="1" applyFill="1" applyBorder="1" applyAlignment="1">
      <alignment horizontal="center"/>
    </xf>
    <xf numFmtId="0" fontId="8" fillId="8" borderId="27" xfId="0" applyFont="1" applyFill="1" applyBorder="1" applyAlignment="1">
      <alignment horizontal="center"/>
    </xf>
    <xf numFmtId="0" fontId="8" fillId="8" borderId="28" xfId="0" applyFont="1" applyFill="1" applyBorder="1" applyAlignment="1">
      <alignment horizontal="center"/>
    </xf>
    <xf numFmtId="167" fontId="3" fillId="0" borderId="0" xfId="10" applyFont="1" applyFill="1" applyAlignment="1">
      <alignment horizontal="left" vertical="top" wrapText="1"/>
    </xf>
    <xf numFmtId="0" fontId="3" fillId="0" borderId="0" xfId="0" applyFont="1" applyAlignment="1" applyProtection="1">
      <alignment horizontal="left" vertical="center" wrapText="1"/>
    </xf>
    <xf numFmtId="0" fontId="12" fillId="0" borderId="2" xfId="0" applyFont="1" applyFill="1" applyBorder="1" applyAlignment="1" applyProtection="1">
      <alignment horizontal="center"/>
    </xf>
    <xf numFmtId="0" fontId="8" fillId="2" borderId="2" xfId="0" applyFont="1" applyFill="1" applyBorder="1" applyAlignment="1" applyProtection="1">
      <alignment horizontal="center" wrapText="1"/>
    </xf>
    <xf numFmtId="0" fontId="12" fillId="2" borderId="2" xfId="0" applyFont="1" applyFill="1" applyBorder="1" applyAlignment="1" applyProtection="1">
      <alignment horizontal="center"/>
    </xf>
    <xf numFmtId="0" fontId="22" fillId="6" borderId="0" xfId="0" applyFont="1" applyFill="1" applyBorder="1" applyAlignment="1" applyProtection="1">
      <alignment horizontal="center"/>
    </xf>
    <xf numFmtId="0" fontId="32" fillId="6" borderId="0" xfId="0" applyFont="1" applyFill="1" applyAlignment="1" applyProtection="1">
      <alignment horizontal="center" wrapText="1"/>
    </xf>
    <xf numFmtId="0" fontId="8" fillId="0" borderId="2" xfId="0" applyFont="1" applyFill="1" applyBorder="1" applyAlignment="1" applyProtection="1">
      <alignment horizontal="center" wrapText="1"/>
    </xf>
    <xf numFmtId="0" fontId="12" fillId="0" borderId="6" xfId="0" applyFont="1" applyFill="1" applyBorder="1" applyAlignment="1">
      <alignment horizontal="center"/>
    </xf>
    <xf numFmtId="0" fontId="29" fillId="0" borderId="30" xfId="0" applyFont="1" applyBorder="1" applyAlignment="1">
      <alignment horizontal="left" wrapText="1"/>
    </xf>
    <xf numFmtId="0" fontId="29" fillId="0" borderId="33" xfId="0" applyFont="1" applyBorder="1" applyAlignment="1">
      <alignment horizontal="left" wrapText="1"/>
    </xf>
    <xf numFmtId="0" fontId="30" fillId="0" borderId="30" xfId="0" applyFont="1" applyBorder="1" applyAlignment="1"/>
    <xf numFmtId="0" fontId="30" fillId="0" borderId="33" xfId="0" applyFont="1" applyBorder="1" applyAlignment="1"/>
    <xf numFmtId="0" fontId="30" fillId="0" borderId="30" xfId="0" applyFont="1" applyBorder="1" applyAlignment="1">
      <alignment wrapText="1"/>
    </xf>
    <xf numFmtId="0" fontId="30" fillId="0" borderId="33" xfId="0" applyFont="1" applyBorder="1" applyAlignment="1">
      <alignment wrapText="1"/>
    </xf>
    <xf numFmtId="0" fontId="29" fillId="0" borderId="30" xfId="0" applyFont="1" applyBorder="1" applyAlignment="1">
      <alignment horizontal="left"/>
    </xf>
    <xf numFmtId="0" fontId="29" fillId="0" borderId="33" xfId="0" applyFont="1" applyBorder="1" applyAlignment="1">
      <alignment horizontal="left"/>
    </xf>
  </cellXfs>
  <cellStyles count="16">
    <cellStyle name="Curr (1,234.00) L Black" xfId="1"/>
    <cellStyle name="Currency 2" xfId="13"/>
    <cellStyle name="Hyperlink" xfId="2" builtinId="8"/>
    <cellStyle name="Hyperlink 2" xfId="3"/>
    <cellStyle name="Hyperlink 3" xfId="14"/>
    <cellStyle name="Normal" xfId="0" builtinId="0"/>
    <cellStyle name="Normal 2" xfId="4"/>
    <cellStyle name="Normal 2 2" xfId="5"/>
    <cellStyle name="Normal 3" xfId="6"/>
    <cellStyle name="Normal 3 2" xfId="7"/>
    <cellStyle name="Normal 4" xfId="8"/>
    <cellStyle name="Normal 5" xfId="9"/>
    <cellStyle name="Normal 6" xfId="11"/>
    <cellStyle name="Normal_Farrow-Wean 500" xfId="10"/>
    <cellStyle name="Percent" xfId="15" builtinId="5"/>
    <cellStyle name="Percent 2" xfId="12"/>
  </cellStyles>
  <dxfs count="43">
    <dxf>
      <font>
        <b/>
        <i val="0"/>
        <color rgb="FF00B050"/>
      </font>
    </dxf>
    <dxf>
      <font>
        <b/>
        <i val="0"/>
        <color rgb="FFFF0000"/>
      </font>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color auto="1"/>
      </font>
      <fill>
        <patternFill>
          <bgColor theme="0" tint="-0.34998626667073579"/>
        </patternFill>
      </fill>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00B050"/>
      </font>
    </dxf>
    <dxf>
      <font>
        <b/>
        <i val="0"/>
        <color rgb="FFFF0000"/>
      </font>
    </dxf>
    <dxf>
      <font>
        <b/>
        <i val="0"/>
        <color rgb="FF00B050"/>
      </font>
    </dxf>
    <dxf>
      <font>
        <b/>
        <i val="0"/>
        <color rgb="FFFF0000"/>
      </font>
    </dxf>
    <dxf>
      <font>
        <color auto="1"/>
      </font>
      <fill>
        <patternFill>
          <bgColor theme="0" tint="-0.34998626667073579"/>
        </patternFill>
      </fill>
    </dxf>
    <dxf>
      <font>
        <b/>
        <i val="0"/>
        <color rgb="FF00B050"/>
      </font>
    </dxf>
    <dxf>
      <font>
        <b/>
        <i val="0"/>
        <color rgb="FFFF0000"/>
      </font>
    </dxf>
    <dxf>
      <font>
        <color auto="1"/>
      </font>
      <fill>
        <patternFill>
          <bgColor theme="0" tint="-0.34998626667073579"/>
        </patternFill>
      </fill>
    </dxf>
    <dxf>
      <font>
        <color auto="1"/>
      </font>
      <fill>
        <patternFill>
          <bgColor theme="0" tint="-0.34998626667073579"/>
        </patternFill>
      </fill>
    </dxf>
    <dxf>
      <font>
        <b/>
        <i val="0"/>
        <color rgb="FF00B050"/>
      </font>
    </dxf>
    <dxf>
      <font>
        <b/>
        <i val="0"/>
        <color rgb="FFFF0000"/>
      </font>
    </dxf>
    <dxf>
      <font>
        <b/>
        <i val="0"/>
        <color rgb="FF00B050"/>
      </font>
    </dxf>
    <dxf>
      <font>
        <b/>
        <i val="0"/>
        <color rgb="FFFF0000"/>
      </font>
    </dxf>
    <dxf>
      <font>
        <color auto="1"/>
      </font>
      <fill>
        <patternFill>
          <bgColor theme="0" tint="-0.34998626667073579"/>
        </patternFill>
      </fill>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 (HIDE)'!$F$145</c:f>
          <c:strCache>
            <c:ptCount val="1"/>
            <c:pt idx="0">
              <c:v>Forage Region 6 AgriInsurance Indemnity ($ per acre)</c:v>
            </c:pt>
          </c:strCache>
        </c:strRef>
      </c:tx>
      <c:layout>
        <c:manualLayout>
          <c:xMode val="edge"/>
          <c:yMode val="edge"/>
          <c:x val="0.26169278279068992"/>
          <c:y val="3.3719008264462808E-2"/>
        </c:manualLayout>
      </c:layout>
      <c:overlay val="0"/>
      <c:txPr>
        <a:bodyPr/>
        <a:lstStyle/>
        <a:p>
          <a:pPr algn="ctr">
            <a:defRPr sz="16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9.0675884797281628E-2"/>
          <c:y val="0.17863179383278843"/>
          <c:w val="0.84649728781967037"/>
          <c:h val="0.47042247818196281"/>
        </c:manualLayout>
      </c:layout>
      <c:barChart>
        <c:barDir val="col"/>
        <c:grouping val="clustered"/>
        <c:varyColors val="0"/>
        <c:ser>
          <c:idx val="3"/>
          <c:order val="0"/>
          <c:tx>
            <c:strRef>
              <c:f>'DATA (HIDE)'!$D$146</c:f>
              <c:strCache>
                <c:ptCount val="1"/>
                <c:pt idx="0">
                  <c:v>Probable Yield (1,500 lb. bales/ac)</c:v>
                </c:pt>
              </c:strCache>
            </c:strRef>
          </c:tx>
          <c:spPr>
            <a:solidFill>
              <a:schemeClr val="bg1">
                <a:lumMod val="85000"/>
              </a:schemeClr>
            </a:solidFill>
            <a:ln>
              <a:solidFill>
                <a:schemeClr val="tx1">
                  <a:lumMod val="65000"/>
                  <a:lumOff val="35000"/>
                </a:schemeClr>
              </a:solidFill>
            </a:ln>
          </c:spPr>
          <c:invertIfNegative val="0"/>
          <c:dPt>
            <c:idx val="1"/>
            <c:invertIfNegative val="0"/>
            <c:bubble3D val="0"/>
            <c:extLst>
              <c:ext xmlns:c16="http://schemas.microsoft.com/office/drawing/2014/chart" uri="{C3380CC4-5D6E-409C-BE32-E72D297353CC}">
                <c16:uniqueId val="{00000001-4E31-4E61-B2D6-EDC9C9944720}"/>
              </c:ext>
            </c:extLst>
          </c:dPt>
          <c:cat>
            <c:strRef>
              <c:f>'DATA (HIDE)'!$A$147:$A$152</c:f>
              <c:strCache>
                <c:ptCount val="6"/>
                <c:pt idx="0">
                  <c:v>Basic Hay High ($8.46/acre, $111/tonne)</c:v>
                </c:pt>
                <c:pt idx="1">
                  <c:v>Alfalfa Grass &gt;4 years 80% ($17.78/acre, $183/tonne)</c:v>
                </c:pt>
                <c:pt idx="2">
                  <c:v>Alfalfa Grass &lt;=4 years 80% ($17.78/acre, $183/tonne)</c:v>
                </c:pt>
                <c:pt idx="3">
                  <c:v>Alfalfa &gt;4 years 80% ($28.64/acre, $222/tonne)</c:v>
                </c:pt>
                <c:pt idx="4">
                  <c:v>Alfalfa &lt;=4 years 80% ($28.64/acre, $222/tonne)</c:v>
                </c:pt>
                <c:pt idx="5">
                  <c:v>Greenfeed 80%  ($19.39/acre, $146/tonne)</c:v>
                </c:pt>
              </c:strCache>
            </c:strRef>
          </c:cat>
          <c:val>
            <c:numRef>
              <c:f>'DATA (HIDE)'!$D$147:$D$152</c:f>
              <c:numCache>
                <c:formatCode>0.0</c:formatCode>
                <c:ptCount val="6"/>
                <c:pt idx="0">
                  <c:v>2</c:v>
                </c:pt>
                <c:pt idx="1">
                  <c:v>1.74</c:v>
                </c:pt>
                <c:pt idx="2">
                  <c:v>2.77</c:v>
                </c:pt>
                <c:pt idx="3">
                  <c:v>2.2799999999999998</c:v>
                </c:pt>
                <c:pt idx="4">
                  <c:v>3.19</c:v>
                </c:pt>
                <c:pt idx="5">
                  <c:v>2.93</c:v>
                </c:pt>
              </c:numCache>
            </c:numRef>
          </c:val>
          <c:extLst>
            <c:ext xmlns:c16="http://schemas.microsoft.com/office/drawing/2014/chart" uri="{C3380CC4-5D6E-409C-BE32-E72D297353CC}">
              <c16:uniqueId val="{00000002-4E31-4E61-B2D6-EDC9C9944720}"/>
            </c:ext>
          </c:extLst>
        </c:ser>
        <c:ser>
          <c:idx val="4"/>
          <c:order val="1"/>
          <c:tx>
            <c:strRef>
              <c:f>'DATA (HIDE)'!$E$146</c:f>
              <c:strCache>
                <c:ptCount val="1"/>
                <c:pt idx="0">
                  <c:v>AgriInsurance Coverage (1,500 lb. bales/acre)</c:v>
                </c:pt>
              </c:strCache>
            </c:strRef>
          </c:tx>
          <c:spPr>
            <a:solidFill>
              <a:schemeClr val="bg1">
                <a:lumMod val="65000"/>
              </a:schemeClr>
            </a:solidFill>
            <a:ln>
              <a:solidFill>
                <a:schemeClr val="tx1">
                  <a:lumMod val="65000"/>
                  <a:lumOff val="35000"/>
                </a:schemeClr>
              </a:solidFill>
            </a:ln>
          </c:spPr>
          <c:invertIfNegative val="0"/>
          <c:dPt>
            <c:idx val="1"/>
            <c:invertIfNegative val="0"/>
            <c:bubble3D val="0"/>
            <c:extLst>
              <c:ext xmlns:c16="http://schemas.microsoft.com/office/drawing/2014/chart" uri="{C3380CC4-5D6E-409C-BE32-E72D297353CC}">
                <c16:uniqueId val="{00000004-4E31-4E61-B2D6-EDC9C9944720}"/>
              </c:ext>
            </c:extLst>
          </c:dPt>
          <c:cat>
            <c:strRef>
              <c:f>'DATA (HIDE)'!$A$147:$A$152</c:f>
              <c:strCache>
                <c:ptCount val="6"/>
                <c:pt idx="0">
                  <c:v>Basic Hay High ($8.46/acre, $111/tonne)</c:v>
                </c:pt>
                <c:pt idx="1">
                  <c:v>Alfalfa Grass &gt;4 years 80% ($17.78/acre, $183/tonne)</c:v>
                </c:pt>
                <c:pt idx="2">
                  <c:v>Alfalfa Grass &lt;=4 years 80% ($17.78/acre, $183/tonne)</c:v>
                </c:pt>
                <c:pt idx="3">
                  <c:v>Alfalfa &gt;4 years 80% ($28.64/acre, $222/tonne)</c:v>
                </c:pt>
                <c:pt idx="4">
                  <c:v>Alfalfa &lt;=4 years 80% ($28.64/acre, $222/tonne)</c:v>
                </c:pt>
                <c:pt idx="5">
                  <c:v>Greenfeed 80%  ($19.39/acre, $146/tonne)</c:v>
                </c:pt>
              </c:strCache>
            </c:strRef>
          </c:cat>
          <c:val>
            <c:numRef>
              <c:f>'DATA (HIDE)'!$E$147:$E$152</c:f>
              <c:numCache>
                <c:formatCode>0.0</c:formatCode>
                <c:ptCount val="6"/>
                <c:pt idx="0">
                  <c:v>1.5973333333333333</c:v>
                </c:pt>
                <c:pt idx="1">
                  <c:v>1.3906666666666667</c:v>
                </c:pt>
                <c:pt idx="2">
                  <c:v>2.2146666666666666</c:v>
                </c:pt>
                <c:pt idx="3">
                  <c:v>1.8240000000000001</c:v>
                </c:pt>
                <c:pt idx="4">
                  <c:v>2.5546666666666669</c:v>
                </c:pt>
                <c:pt idx="5">
                  <c:v>2.3466666666666667</c:v>
                </c:pt>
              </c:numCache>
            </c:numRef>
          </c:val>
          <c:extLst>
            <c:ext xmlns:c16="http://schemas.microsoft.com/office/drawing/2014/chart" uri="{C3380CC4-5D6E-409C-BE32-E72D297353CC}">
              <c16:uniqueId val="{00000005-4E31-4E61-B2D6-EDC9C9944720}"/>
            </c:ext>
          </c:extLst>
        </c:ser>
        <c:dLbls>
          <c:showLegendKey val="0"/>
          <c:showVal val="0"/>
          <c:showCatName val="0"/>
          <c:showSerName val="0"/>
          <c:showPercent val="0"/>
          <c:showBubbleSize val="0"/>
        </c:dLbls>
        <c:gapWidth val="150"/>
        <c:axId val="518672864"/>
        <c:axId val="1"/>
      </c:barChart>
      <c:barChart>
        <c:barDir val="col"/>
        <c:grouping val="clustered"/>
        <c:varyColors val="0"/>
        <c:ser>
          <c:idx val="1"/>
          <c:order val="3"/>
          <c:tx>
            <c:strRef>
              <c:f>'DATA (HIDE)'!$C$146</c:f>
              <c:strCache>
                <c:ptCount val="1"/>
                <c:pt idx="0">
                  <c:v>Indemnity ($/ac) @ 1 bale/ac yield</c:v>
                </c:pt>
              </c:strCache>
            </c:strRef>
          </c:tx>
          <c:spPr>
            <a:noFill/>
          </c:spPr>
          <c:invertIfNegative val="0"/>
          <c:dLbls>
            <c:spPr>
              <a:noFill/>
              <a:ln>
                <a:noFill/>
              </a:ln>
              <a:effectLst/>
            </c:spPr>
            <c:txPr>
              <a:bodyPr wrap="square" lIns="38100" tIns="19050" rIns="38100" bIns="19050" anchor="ctr">
                <a:spAutoFit/>
              </a:bodyPr>
              <a:lstStyle/>
              <a:p>
                <a:pPr>
                  <a:defRPr sz="1400" b="1">
                    <a:solidFill>
                      <a:sysClr val="windowText" lastClr="00000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'DATA (HIDE)'!$C$147:$C$152</c:f>
              <c:numCache>
                <c:formatCode>"$"#,##0</c:formatCode>
                <c:ptCount val="6"/>
                <c:pt idx="0">
                  <c:v>45.112536400830983</c:v>
                </c:pt>
                <c:pt idx="1">
                  <c:v>48.642396422059122</c:v>
                </c:pt>
                <c:pt idx="2">
                  <c:v>120.11185601146684</c:v>
                </c:pt>
                <c:pt idx="3">
                  <c:v>48.939046184830062</c:v>
                </c:pt>
                <c:pt idx="4">
                  <c:v>83.780424744400378</c:v>
                </c:pt>
                <c:pt idx="5">
                  <c:v>84.131150000000005</c:v>
                </c:pt>
              </c:numCache>
            </c:numRef>
          </c:val>
          <c:extLst>
            <c:ext xmlns:c16="http://schemas.microsoft.com/office/drawing/2014/chart" uri="{C3380CC4-5D6E-409C-BE32-E72D297353CC}">
              <c16:uniqueId val="{00000004-8901-462F-9CD1-226168D249EE}"/>
            </c:ext>
          </c:extLst>
        </c:ser>
        <c:dLbls>
          <c:showLegendKey val="0"/>
          <c:showVal val="0"/>
          <c:showCatName val="0"/>
          <c:showSerName val="0"/>
          <c:showPercent val="0"/>
          <c:showBubbleSize val="0"/>
        </c:dLbls>
        <c:gapWidth val="150"/>
        <c:axId val="581150744"/>
        <c:axId val="581146152"/>
      </c:barChart>
      <c:lineChart>
        <c:grouping val="standard"/>
        <c:varyColors val="0"/>
        <c:ser>
          <c:idx val="0"/>
          <c:order val="2"/>
          <c:tx>
            <c:strRef>
              <c:f>'DATA (HIDE)'!$F$146</c:f>
              <c:strCache>
                <c:ptCount val="1"/>
                <c:pt idx="0">
                  <c:v>Est. Actual Yield (1 bale/ac)</c:v>
                </c:pt>
              </c:strCache>
            </c:strRef>
          </c:tx>
          <c:spPr>
            <a:ln w="44450">
              <a:solidFill>
                <a:schemeClr val="tx1"/>
              </a:solidFill>
            </a:ln>
          </c:spPr>
          <c:marker>
            <c:symbol val="none"/>
          </c:marker>
          <c:val>
            <c:numRef>
              <c:f>'DATA (HIDE)'!$F$147:$F$152</c:f>
              <c:numCache>
                <c:formatCode>#,##0.00</c:formatCode>
                <c:ptCount val="6"/>
                <c:pt idx="0">
                  <c:v>1</c:v>
                </c:pt>
                <c:pt idx="1">
                  <c:v>1</c:v>
                </c:pt>
                <c:pt idx="2">
                  <c:v>1.25</c:v>
                </c:pt>
                <c:pt idx="3">
                  <c:v>1.5</c:v>
                </c:pt>
                <c:pt idx="4">
                  <c:v>2</c:v>
                </c:pt>
                <c:pt idx="5">
                  <c:v>1.5</c:v>
                </c:pt>
              </c:numCache>
            </c:numRef>
          </c:val>
          <c:smooth val="0"/>
          <c:extLst>
            <c:ext xmlns:c16="http://schemas.microsoft.com/office/drawing/2014/chart" uri="{C3380CC4-5D6E-409C-BE32-E72D297353CC}">
              <c16:uniqueId val="{00000009-4E31-4E61-B2D6-EDC9C9944720}"/>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Forage Yield (bales/acre)</a:t>
                </a:r>
              </a:p>
            </c:rich>
          </c:tx>
          <c:layout>
            <c:manualLayout>
              <c:xMode val="edge"/>
              <c:yMode val="edge"/>
              <c:x val="1.608780896847728E-2"/>
              <c:y val="0.20640266457920831"/>
            </c:manualLayout>
          </c:layout>
          <c:overlay val="0"/>
        </c:title>
        <c:numFmt formatCode="0.0"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valAx>
      <c:valAx>
        <c:axId val="581146152"/>
        <c:scaling>
          <c:orientation val="minMax"/>
        </c:scaling>
        <c:delete val="0"/>
        <c:axPos val="r"/>
        <c:numFmt formatCode="&quot;$&quot;#,##0" sourceLinked="1"/>
        <c:majorTickMark val="none"/>
        <c:minorTickMark val="none"/>
        <c:tickLblPos val="nextTo"/>
        <c:txPr>
          <a:bodyPr/>
          <a:lstStyle/>
          <a:p>
            <a:pPr>
              <a:defRPr>
                <a:solidFill>
                  <a:schemeClr val="bg1"/>
                </a:solidFill>
              </a:defRPr>
            </a:pPr>
            <a:endParaRPr lang="en-US"/>
          </a:p>
        </c:txPr>
        <c:crossAx val="581150744"/>
        <c:crosses val="max"/>
        <c:crossBetween val="between"/>
      </c:valAx>
      <c:catAx>
        <c:axId val="581150744"/>
        <c:scaling>
          <c:orientation val="minMax"/>
        </c:scaling>
        <c:delete val="1"/>
        <c:axPos val="b"/>
        <c:majorTickMark val="out"/>
        <c:minorTickMark val="none"/>
        <c:tickLblPos val="nextTo"/>
        <c:crossAx val="581146152"/>
        <c:crosses val="autoZero"/>
        <c:auto val="1"/>
        <c:lblAlgn val="ctr"/>
        <c:lblOffset val="100"/>
        <c:noMultiLvlLbl val="0"/>
      </c:catAx>
      <c:spPr>
        <a:noFill/>
        <a:ln>
          <a:solidFill>
            <a:schemeClr val="tx1"/>
          </a:solidFill>
        </a:ln>
      </c:spPr>
    </c:plotArea>
    <c:legend>
      <c:legendPos val="r"/>
      <c:legendEntry>
        <c:idx val="2"/>
        <c:delete val="1"/>
      </c:legendEntry>
      <c:layout>
        <c:manualLayout>
          <c:xMode val="edge"/>
          <c:yMode val="edge"/>
          <c:x val="1.9170961294071812E-2"/>
          <c:y val="0.86630803380982335"/>
          <c:w val="0.96033079806629995"/>
          <c:h val="0.13136576936147445"/>
        </c:manualLayout>
      </c:layout>
      <c:overlay val="0"/>
      <c:txPr>
        <a:bodyPr/>
        <a:lstStyle/>
        <a:p>
          <a:pPr>
            <a:defRPr sz="1100"/>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'DATA (HIDE)'!$F$144</c:f>
          <c:strCache>
            <c:ptCount val="1"/>
            <c:pt idx="0">
              <c:v>Forage Region 6 AgriInsurance Indemnity + HDB ($ per acre)</c:v>
            </c:pt>
          </c:strCache>
        </c:strRef>
      </c:tx>
      <c:layout>
        <c:manualLayout>
          <c:xMode val="edge"/>
          <c:yMode val="edge"/>
          <c:x val="0.21994809373660507"/>
          <c:y val="1.469700796116695E-2"/>
        </c:manualLayout>
      </c:layout>
      <c:overlay val="0"/>
      <c:txPr>
        <a:bodyPr/>
        <a:lstStyle/>
        <a:p>
          <a:pPr algn="ctr">
            <a:defRPr sz="16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9.2112603571612356E-2"/>
          <c:y val="0.26169941776883682"/>
          <c:w val="0.84506075629435207"/>
          <c:h val="0.39867618777515906"/>
        </c:manualLayout>
      </c:layout>
      <c:barChart>
        <c:barDir val="col"/>
        <c:grouping val="clustered"/>
        <c:varyColors val="0"/>
        <c:ser>
          <c:idx val="3"/>
          <c:order val="0"/>
          <c:tx>
            <c:strRef>
              <c:f>'DATA (HIDE)'!$D$146</c:f>
              <c:strCache>
                <c:ptCount val="1"/>
                <c:pt idx="0">
                  <c:v>Probable Yield (1,500 lb. bales/ac)</c:v>
                </c:pt>
              </c:strCache>
            </c:strRef>
          </c:tx>
          <c:spPr>
            <a:solidFill>
              <a:schemeClr val="bg1">
                <a:lumMod val="85000"/>
              </a:schemeClr>
            </a:solidFill>
            <a:ln>
              <a:solidFill>
                <a:schemeClr val="tx1">
                  <a:lumMod val="65000"/>
                  <a:lumOff val="35000"/>
                </a:schemeClr>
              </a:solidFill>
            </a:ln>
          </c:spPr>
          <c:invertIfNegative val="0"/>
          <c:dPt>
            <c:idx val="1"/>
            <c:invertIfNegative val="0"/>
            <c:bubble3D val="0"/>
            <c:extLst>
              <c:ext xmlns:c16="http://schemas.microsoft.com/office/drawing/2014/chart" uri="{C3380CC4-5D6E-409C-BE32-E72D297353CC}">
                <c16:uniqueId val="{00000000-3DC4-4B05-A800-FF4078132F99}"/>
              </c:ext>
            </c:extLst>
          </c:dPt>
          <c:cat>
            <c:strRef>
              <c:f>'DATA (HIDE)'!$A$147:$A$152</c:f>
              <c:strCache>
                <c:ptCount val="6"/>
                <c:pt idx="0">
                  <c:v>Basic Hay High ($8.46/acre, $111/tonne)</c:v>
                </c:pt>
                <c:pt idx="1">
                  <c:v>Alfalfa Grass &gt;4 years 80% ($17.78/acre, $183/tonne)</c:v>
                </c:pt>
                <c:pt idx="2">
                  <c:v>Alfalfa Grass &lt;=4 years 80% ($17.78/acre, $183/tonne)</c:v>
                </c:pt>
                <c:pt idx="3">
                  <c:v>Alfalfa &gt;4 years 80% ($28.64/acre, $222/tonne)</c:v>
                </c:pt>
                <c:pt idx="4">
                  <c:v>Alfalfa &lt;=4 years 80% ($28.64/acre, $222/tonne)</c:v>
                </c:pt>
                <c:pt idx="5">
                  <c:v>Greenfeed 80%  ($19.39/acre, $146/tonne)</c:v>
                </c:pt>
              </c:strCache>
            </c:strRef>
          </c:cat>
          <c:val>
            <c:numRef>
              <c:f>'DATA (HIDE)'!$D$147:$D$152</c:f>
              <c:numCache>
                <c:formatCode>0.0</c:formatCode>
                <c:ptCount val="6"/>
                <c:pt idx="0">
                  <c:v>2</c:v>
                </c:pt>
                <c:pt idx="1">
                  <c:v>1.74</c:v>
                </c:pt>
                <c:pt idx="2">
                  <c:v>2.77</c:v>
                </c:pt>
                <c:pt idx="3">
                  <c:v>2.2799999999999998</c:v>
                </c:pt>
                <c:pt idx="4">
                  <c:v>3.19</c:v>
                </c:pt>
                <c:pt idx="5">
                  <c:v>2.93</c:v>
                </c:pt>
              </c:numCache>
            </c:numRef>
          </c:val>
          <c:extLst>
            <c:ext xmlns:c16="http://schemas.microsoft.com/office/drawing/2014/chart" uri="{C3380CC4-5D6E-409C-BE32-E72D297353CC}">
              <c16:uniqueId val="{00000001-3DC4-4B05-A800-FF4078132F99}"/>
            </c:ext>
          </c:extLst>
        </c:ser>
        <c:ser>
          <c:idx val="4"/>
          <c:order val="1"/>
          <c:tx>
            <c:strRef>
              <c:f>'DATA (HIDE)'!$E$146</c:f>
              <c:strCache>
                <c:ptCount val="1"/>
                <c:pt idx="0">
                  <c:v>AgriInsurance Coverage (1,500 lb. bales/acre)</c:v>
                </c:pt>
              </c:strCache>
            </c:strRef>
          </c:tx>
          <c:spPr>
            <a:solidFill>
              <a:schemeClr val="bg1">
                <a:lumMod val="65000"/>
              </a:schemeClr>
            </a:solidFill>
            <a:ln>
              <a:solidFill>
                <a:schemeClr val="tx1">
                  <a:lumMod val="65000"/>
                  <a:lumOff val="35000"/>
                </a:schemeClr>
              </a:solidFill>
            </a:ln>
          </c:spPr>
          <c:invertIfNegative val="0"/>
          <c:dPt>
            <c:idx val="1"/>
            <c:invertIfNegative val="0"/>
            <c:bubble3D val="0"/>
            <c:extLst>
              <c:ext xmlns:c16="http://schemas.microsoft.com/office/drawing/2014/chart" uri="{C3380CC4-5D6E-409C-BE32-E72D297353CC}">
                <c16:uniqueId val="{00000002-3DC4-4B05-A800-FF4078132F99}"/>
              </c:ext>
            </c:extLst>
          </c:dPt>
          <c:cat>
            <c:strRef>
              <c:f>'DATA (HIDE)'!$A$147:$A$152</c:f>
              <c:strCache>
                <c:ptCount val="6"/>
                <c:pt idx="0">
                  <c:v>Basic Hay High ($8.46/acre, $111/tonne)</c:v>
                </c:pt>
                <c:pt idx="1">
                  <c:v>Alfalfa Grass &gt;4 years 80% ($17.78/acre, $183/tonne)</c:v>
                </c:pt>
                <c:pt idx="2">
                  <c:v>Alfalfa Grass &lt;=4 years 80% ($17.78/acre, $183/tonne)</c:v>
                </c:pt>
                <c:pt idx="3">
                  <c:v>Alfalfa &gt;4 years 80% ($28.64/acre, $222/tonne)</c:v>
                </c:pt>
                <c:pt idx="4">
                  <c:v>Alfalfa &lt;=4 years 80% ($28.64/acre, $222/tonne)</c:v>
                </c:pt>
                <c:pt idx="5">
                  <c:v>Greenfeed 80%  ($19.39/acre, $146/tonne)</c:v>
                </c:pt>
              </c:strCache>
            </c:strRef>
          </c:cat>
          <c:val>
            <c:numRef>
              <c:f>'DATA (HIDE)'!$E$147:$E$152</c:f>
              <c:numCache>
                <c:formatCode>0.0</c:formatCode>
                <c:ptCount val="6"/>
                <c:pt idx="0">
                  <c:v>1.5973333333333333</c:v>
                </c:pt>
                <c:pt idx="1">
                  <c:v>1.3906666666666667</c:v>
                </c:pt>
                <c:pt idx="2">
                  <c:v>2.2146666666666666</c:v>
                </c:pt>
                <c:pt idx="3">
                  <c:v>1.8240000000000001</c:v>
                </c:pt>
                <c:pt idx="4">
                  <c:v>2.5546666666666669</c:v>
                </c:pt>
                <c:pt idx="5">
                  <c:v>2.3466666666666667</c:v>
                </c:pt>
              </c:numCache>
            </c:numRef>
          </c:val>
          <c:extLst>
            <c:ext xmlns:c16="http://schemas.microsoft.com/office/drawing/2014/chart" uri="{C3380CC4-5D6E-409C-BE32-E72D297353CC}">
              <c16:uniqueId val="{00000003-3DC4-4B05-A800-FF4078132F99}"/>
            </c:ext>
          </c:extLst>
        </c:ser>
        <c:dLbls>
          <c:showLegendKey val="0"/>
          <c:showVal val="0"/>
          <c:showCatName val="0"/>
          <c:showSerName val="0"/>
          <c:showPercent val="0"/>
          <c:showBubbleSize val="0"/>
        </c:dLbls>
        <c:gapWidth val="150"/>
        <c:axId val="518672864"/>
        <c:axId val="1"/>
      </c:barChart>
      <c:barChart>
        <c:barDir val="col"/>
        <c:grouping val="clustered"/>
        <c:varyColors val="0"/>
        <c:ser>
          <c:idx val="1"/>
          <c:order val="3"/>
          <c:tx>
            <c:strRef>
              <c:f>'DATA (HIDE)'!$B$146</c:f>
              <c:strCache>
                <c:ptCount val="1"/>
                <c:pt idx="0">
                  <c:v>Indem + HDB</c:v>
                </c:pt>
              </c:strCache>
            </c:strRef>
          </c:tx>
          <c:spPr>
            <a:noFill/>
          </c:spPr>
          <c:invertIfNegative val="0"/>
          <c:dLbls>
            <c:spPr>
              <a:noFill/>
              <a:ln>
                <a:noFill/>
              </a:ln>
              <a:effectLst/>
            </c:spPr>
            <c:txPr>
              <a:bodyPr wrap="square" lIns="38100" tIns="19050" rIns="38100" bIns="19050" anchor="ctr">
                <a:spAutoFit/>
              </a:bodyPr>
              <a:lstStyle/>
              <a:p>
                <a:pPr>
                  <a:defRPr sz="1400" b="1">
                    <a:solidFill>
                      <a:sysClr val="windowText" lastClr="000000"/>
                    </a:solidFill>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'DATA (HIDE)'!$B$147:$B$152</c:f>
              <c:numCache>
                <c:formatCode>"$"#,##0</c:formatCode>
                <c:ptCount val="6"/>
                <c:pt idx="0">
                  <c:v>62.994983262421641</c:v>
                </c:pt>
                <c:pt idx="1">
                  <c:v>60.337835998947654</c:v>
                </c:pt>
                <c:pt idx="2">
                  <c:v>148.99120936941515</c:v>
                </c:pt>
                <c:pt idx="3">
                  <c:v>58.638676960201785</c:v>
                </c:pt>
                <c:pt idx="4">
                  <c:v>100.38555397302028</c:v>
                </c:pt>
                <c:pt idx="5">
                  <c:v>84.131150000000005</c:v>
                </c:pt>
              </c:numCache>
            </c:numRef>
          </c:val>
          <c:extLst>
            <c:ext xmlns:c16="http://schemas.microsoft.com/office/drawing/2014/chart" uri="{C3380CC4-5D6E-409C-BE32-E72D297353CC}">
              <c16:uniqueId val="{00000004-3DC4-4B05-A800-FF4078132F99}"/>
            </c:ext>
          </c:extLst>
        </c:ser>
        <c:dLbls>
          <c:showLegendKey val="0"/>
          <c:showVal val="0"/>
          <c:showCatName val="0"/>
          <c:showSerName val="0"/>
          <c:showPercent val="0"/>
          <c:showBubbleSize val="0"/>
        </c:dLbls>
        <c:gapWidth val="150"/>
        <c:axId val="581150744"/>
        <c:axId val="581146152"/>
      </c:barChart>
      <c:lineChart>
        <c:grouping val="standard"/>
        <c:varyColors val="0"/>
        <c:ser>
          <c:idx val="0"/>
          <c:order val="2"/>
          <c:tx>
            <c:strRef>
              <c:f>'DATA (HIDE)'!$F$146</c:f>
              <c:strCache>
                <c:ptCount val="1"/>
                <c:pt idx="0">
                  <c:v>Est. Actual Yield (1 bale/ac)</c:v>
                </c:pt>
              </c:strCache>
            </c:strRef>
          </c:tx>
          <c:spPr>
            <a:ln w="44450">
              <a:solidFill>
                <a:schemeClr val="tx1"/>
              </a:solidFill>
            </a:ln>
          </c:spPr>
          <c:marker>
            <c:symbol val="none"/>
          </c:marker>
          <c:val>
            <c:numRef>
              <c:f>'DATA (HIDE)'!$F$147:$F$152</c:f>
              <c:numCache>
                <c:formatCode>#,##0.00</c:formatCode>
                <c:ptCount val="6"/>
                <c:pt idx="0">
                  <c:v>1</c:v>
                </c:pt>
                <c:pt idx="1">
                  <c:v>1</c:v>
                </c:pt>
                <c:pt idx="2">
                  <c:v>1.25</c:v>
                </c:pt>
                <c:pt idx="3">
                  <c:v>1.5</c:v>
                </c:pt>
                <c:pt idx="4">
                  <c:v>2</c:v>
                </c:pt>
                <c:pt idx="5">
                  <c:v>1.5</c:v>
                </c:pt>
              </c:numCache>
            </c:numRef>
          </c:val>
          <c:smooth val="0"/>
          <c:extLst>
            <c:ext xmlns:c16="http://schemas.microsoft.com/office/drawing/2014/chart" uri="{C3380CC4-5D6E-409C-BE32-E72D297353CC}">
              <c16:uniqueId val="{00000005-3DC4-4B05-A800-FF4078132F99}"/>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0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Forage Yield (bales/acre)</a:t>
                </a:r>
              </a:p>
            </c:rich>
          </c:tx>
          <c:layout>
            <c:manualLayout>
              <c:xMode val="edge"/>
              <c:yMode val="edge"/>
              <c:x val="1.608780896847728E-2"/>
              <c:y val="0.20640266457920831"/>
            </c:manualLayout>
          </c:layout>
          <c:overlay val="0"/>
        </c:title>
        <c:numFmt formatCode="0.0"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valAx>
      <c:valAx>
        <c:axId val="581146152"/>
        <c:scaling>
          <c:orientation val="minMax"/>
        </c:scaling>
        <c:delete val="0"/>
        <c:axPos val="r"/>
        <c:numFmt formatCode="&quot;$&quot;#,##0" sourceLinked="1"/>
        <c:majorTickMark val="none"/>
        <c:minorTickMark val="none"/>
        <c:tickLblPos val="nextTo"/>
        <c:txPr>
          <a:bodyPr/>
          <a:lstStyle/>
          <a:p>
            <a:pPr>
              <a:defRPr>
                <a:solidFill>
                  <a:schemeClr val="bg1"/>
                </a:solidFill>
              </a:defRPr>
            </a:pPr>
            <a:endParaRPr lang="en-US"/>
          </a:p>
        </c:txPr>
        <c:crossAx val="581150744"/>
        <c:crosses val="max"/>
        <c:crossBetween val="between"/>
      </c:valAx>
      <c:catAx>
        <c:axId val="581150744"/>
        <c:scaling>
          <c:orientation val="minMax"/>
        </c:scaling>
        <c:delete val="1"/>
        <c:axPos val="b"/>
        <c:majorTickMark val="out"/>
        <c:minorTickMark val="none"/>
        <c:tickLblPos val="nextTo"/>
        <c:crossAx val="581146152"/>
        <c:crosses val="autoZero"/>
        <c:auto val="1"/>
        <c:lblAlgn val="ctr"/>
        <c:lblOffset val="100"/>
        <c:noMultiLvlLbl val="0"/>
      </c:catAx>
      <c:spPr>
        <a:noFill/>
        <a:ln>
          <a:solidFill>
            <a:schemeClr val="tx1"/>
          </a:solidFill>
        </a:ln>
      </c:spPr>
    </c:plotArea>
    <c:legend>
      <c:legendPos val="r"/>
      <c:legendEntry>
        <c:idx val="2"/>
        <c:delete val="1"/>
      </c:legendEntry>
      <c:layout>
        <c:manualLayout>
          <c:xMode val="edge"/>
          <c:yMode val="edge"/>
          <c:x val="1.9040321302119113E-2"/>
          <c:y val="0.86287653604385417"/>
          <c:w val="0.96195285808252073"/>
          <c:h val="0.11653252319921671"/>
        </c:manualLayout>
      </c:layout>
      <c:overlay val="0"/>
      <c:txPr>
        <a:bodyPr/>
        <a:lstStyle/>
        <a:p>
          <a:pPr>
            <a:defRPr sz="1100"/>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7" Type="http://schemas.openxmlformats.org/officeDocument/2006/relationships/image" Target="../media/image2.jpeg"/><Relationship Id="rId2" Type="http://schemas.openxmlformats.org/officeDocument/2006/relationships/hyperlink" Target="https://www.masc.mb.ca/masc.nsf/program_forages.html" TargetMode="External"/><Relationship Id="rId1" Type="http://schemas.openxmlformats.org/officeDocument/2006/relationships/hyperlink" Target="https://www.masc.mb.ca/masc.nsf/calculator_forages.html" TargetMode="External"/><Relationship Id="rId6" Type="http://schemas.openxmlformats.org/officeDocument/2006/relationships/image" Target="../media/image1.JPG"/><Relationship Id="rId5" Type="http://schemas.openxmlformats.org/officeDocument/2006/relationships/hyperlink" Target="https://www.gov.mb.ca/agriculture/farm-management/farm-business-management-contacts.html" TargetMode="Externa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714375</xdr:colOff>
      <xdr:row>161</xdr:row>
      <xdr:rowOff>200025</xdr:rowOff>
    </xdr:from>
    <xdr:to>
      <xdr:col>8</xdr:col>
      <xdr:colOff>200025</xdr:colOff>
      <xdr:row>163</xdr:row>
      <xdr:rowOff>28575</xdr:rowOff>
    </xdr:to>
    <xdr:sp macro="" textlink="">
      <xdr:nvSpPr>
        <xdr:cNvPr id="2" name="TextBox 1">
          <a:hlinkClick xmlns:r="http://schemas.openxmlformats.org/officeDocument/2006/relationships" r:id="rId1" tooltip="Click here for information on MASC Forage Regions"/>
        </xdr:cNvPr>
        <xdr:cNvSpPr txBox="1"/>
      </xdr:nvSpPr>
      <xdr:spPr>
        <a:xfrm>
          <a:off x="5553075" y="33270825"/>
          <a:ext cx="2876550" cy="285750"/>
        </a:xfrm>
        <a:prstGeom prst="rect">
          <a:avLst/>
        </a:prstGeom>
        <a:noFill/>
        <a:ln w="9525" cmpd="sng">
          <a:solidFill>
            <a:schemeClr val="accent1"/>
          </a:solid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CA" sz="1200" b="1" i="0" u="sng" baseline="0">
              <a:solidFill>
                <a:srgbClr val="0000FF"/>
              </a:solidFill>
              <a:uFill>
                <a:solidFill>
                  <a:srgbClr val="0000FF"/>
                </a:solidFill>
              </a:uFill>
              <a:latin typeface="Arial" pitchFamily="34" charset="0"/>
            </a:rPr>
            <a:t>MASC Forage Insurance Calculator</a:t>
          </a:r>
          <a:endParaRPr lang="en-CA" sz="1200" b="1"/>
        </a:p>
      </xdr:txBody>
    </xdr:sp>
    <xdr:clientData/>
  </xdr:twoCellAnchor>
  <xdr:twoCellAnchor>
    <xdr:from>
      <xdr:col>1</xdr:col>
      <xdr:colOff>2228850</xdr:colOff>
      <xdr:row>161</xdr:row>
      <xdr:rowOff>200025</xdr:rowOff>
    </xdr:from>
    <xdr:to>
      <xdr:col>4</xdr:col>
      <xdr:colOff>200025</xdr:colOff>
      <xdr:row>163</xdr:row>
      <xdr:rowOff>28574</xdr:rowOff>
    </xdr:to>
    <xdr:sp macro="" textlink="">
      <xdr:nvSpPr>
        <xdr:cNvPr id="3" name="TextBox 2">
          <a:hlinkClick xmlns:r="http://schemas.openxmlformats.org/officeDocument/2006/relationships" r:id="rId2" tooltip="Click here for information on MASC Forage Insurance"/>
        </xdr:cNvPr>
        <xdr:cNvSpPr txBox="1"/>
      </xdr:nvSpPr>
      <xdr:spPr>
        <a:xfrm>
          <a:off x="2514600" y="30984825"/>
          <a:ext cx="2524125" cy="285749"/>
        </a:xfrm>
        <a:prstGeom prst="rect">
          <a:avLst/>
        </a:prstGeom>
        <a:noFill/>
        <a:ln w="9525" cmpd="sng">
          <a:solidFill>
            <a:schemeClr val="accent1"/>
          </a:solidFill>
        </a:ln>
        <a:effectLst/>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CA" sz="1200" b="1" i="0" u="sng" baseline="0">
              <a:solidFill>
                <a:srgbClr val="0000FF"/>
              </a:solidFill>
              <a:uFill>
                <a:solidFill>
                  <a:srgbClr val="0000FF"/>
                </a:solidFill>
              </a:uFill>
              <a:latin typeface="Arial" pitchFamily="34" charset="0"/>
            </a:rPr>
            <a:t>MASC Forage Insurance</a:t>
          </a:r>
          <a:endParaRPr lang="en-CA" sz="1200" b="1" baseline="0"/>
        </a:p>
      </xdr:txBody>
    </xdr:sp>
    <xdr:clientData/>
  </xdr:twoCellAnchor>
  <xdr:twoCellAnchor>
    <xdr:from>
      <xdr:col>0</xdr:col>
      <xdr:colOff>47626</xdr:colOff>
      <xdr:row>88</xdr:row>
      <xdr:rowOff>200024</xdr:rowOff>
    </xdr:from>
    <xdr:to>
      <xdr:col>9</xdr:col>
      <xdr:colOff>657225</xdr:colOff>
      <xdr:row>103</xdr:row>
      <xdr:rowOff>228599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676275</xdr:colOff>
      <xdr:row>97</xdr:row>
      <xdr:rowOff>138113</xdr:rowOff>
    </xdr:from>
    <xdr:to>
      <xdr:col>9</xdr:col>
      <xdr:colOff>371479</xdr:colOff>
      <xdr:row>104</xdr:row>
      <xdr:rowOff>219075</xdr:rowOff>
    </xdr:to>
    <xdr:sp macro="" textlink="">
      <xdr:nvSpPr>
        <xdr:cNvPr id="20" name="Bent-Up Arrow 19"/>
        <xdr:cNvSpPr/>
      </xdr:nvSpPr>
      <xdr:spPr bwMode="auto">
        <a:xfrm rot="16200000">
          <a:off x="7241384" y="16956879"/>
          <a:ext cx="1681162" cy="409579"/>
        </a:xfrm>
        <a:prstGeom prst="bentUpArrow">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lientData/>
  </xdr:twoCellAnchor>
  <xdr:twoCellAnchor>
    <xdr:from>
      <xdr:col>0</xdr:col>
      <xdr:colOff>47625</xdr:colOff>
      <xdr:row>106</xdr:row>
      <xdr:rowOff>104775</xdr:rowOff>
    </xdr:from>
    <xdr:to>
      <xdr:col>9</xdr:col>
      <xdr:colOff>647700</xdr:colOff>
      <xdr:row>121</xdr:row>
      <xdr:rowOff>152401</xdr:rowOff>
    </xdr:to>
    <xdr:graphicFrame macro="">
      <xdr:nvGraphicFramePr>
        <xdr:cNvPr id="1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676274</xdr:colOff>
      <xdr:row>108</xdr:row>
      <xdr:rowOff>66675</xdr:rowOff>
    </xdr:from>
    <xdr:to>
      <xdr:col>9</xdr:col>
      <xdr:colOff>95250</xdr:colOff>
      <xdr:row>110</xdr:row>
      <xdr:rowOff>47625</xdr:rowOff>
    </xdr:to>
    <xdr:sp macro="" textlink="'DATA (HIDE)'!F143">
      <xdr:nvSpPr>
        <xdr:cNvPr id="16" name="TextBox 15"/>
        <xdr:cNvSpPr txBox="1"/>
      </xdr:nvSpPr>
      <xdr:spPr>
        <a:xfrm>
          <a:off x="962024" y="18764250"/>
          <a:ext cx="7048501"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1400"/>
            </a:lnSpc>
          </a:pPr>
          <a:fld id="{A89B5B6D-78CB-4BD2-8F69-F34F3DBD9078}" type="TxLink">
            <a:rPr lang="en-US" sz="1000" b="0" i="0" u="none" strike="noStrike">
              <a:solidFill>
                <a:srgbClr val="000000"/>
              </a:solidFill>
              <a:latin typeface="Arial"/>
              <a:cs typeface="Arial"/>
            </a:rPr>
            <a:pPr algn="ctr">
              <a:lnSpc>
                <a:spcPts val="1400"/>
              </a:lnSpc>
            </a:pPr>
            <a:t>(HDB = Hay Disaster Benefit = $44/tonne, if more than 20% of the producers insured by AgriInsurance have less than 50% of their long-term probable yield)</a:t>
          </a:fld>
          <a:endParaRPr lang="en-US" sz="1400" b="1" i="0" u="none" strike="noStrike">
            <a:solidFill>
              <a:srgbClr val="000000"/>
            </a:solidFill>
            <a:latin typeface="Arial"/>
            <a:cs typeface="Arial"/>
          </a:endParaRPr>
        </a:p>
      </xdr:txBody>
    </xdr:sp>
    <xdr:clientData/>
  </xdr:twoCellAnchor>
  <xdr:twoCellAnchor editAs="oneCell">
    <xdr:from>
      <xdr:col>1</xdr:col>
      <xdr:colOff>1709208</xdr:colOff>
      <xdr:row>164</xdr:row>
      <xdr:rowOff>57150</xdr:rowOff>
    </xdr:from>
    <xdr:to>
      <xdr:col>5</xdr:col>
      <xdr:colOff>239234</xdr:colOff>
      <xdr:row>168</xdr:row>
      <xdr:rowOff>149294</xdr:rowOff>
    </xdr:to>
    <xdr:pic>
      <xdr:nvPicPr>
        <xdr:cNvPr id="17" name="Picture 16">
          <a:hlinkClick xmlns:r="http://schemas.openxmlformats.org/officeDocument/2006/relationships" r:id="rId5" tooltip="Click here for a list of Farm Management contacts."/>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994958" y="30041850"/>
          <a:ext cx="3987851" cy="1006544"/>
        </a:xfrm>
        <a:prstGeom prst="rect">
          <a:avLst/>
        </a:prstGeom>
      </xdr:spPr>
    </xdr:pic>
    <xdr:clientData/>
  </xdr:twoCellAnchor>
  <xdr:twoCellAnchor>
    <xdr:from>
      <xdr:col>8</xdr:col>
      <xdr:colOff>685802</xdr:colOff>
      <xdr:row>106</xdr:row>
      <xdr:rowOff>19054</xdr:rowOff>
    </xdr:from>
    <xdr:to>
      <xdr:col>9</xdr:col>
      <xdr:colOff>381004</xdr:colOff>
      <xdr:row>116</xdr:row>
      <xdr:rowOff>76203</xdr:rowOff>
    </xdr:to>
    <xdr:sp macro="" textlink="">
      <xdr:nvSpPr>
        <xdr:cNvPr id="18" name="Bent-Up Arrow 17"/>
        <xdr:cNvSpPr/>
      </xdr:nvSpPr>
      <xdr:spPr bwMode="auto">
        <a:xfrm rot="5400000" flipV="1">
          <a:off x="6919916" y="19226215"/>
          <a:ext cx="2343149" cy="409577"/>
        </a:xfrm>
        <a:prstGeom prst="bentUpArrow">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lang="en-CA" sz="1100"/>
        </a:p>
      </xdr:txBody>
    </xdr:sp>
    <xdr:clientData/>
  </xdr:twoCellAnchor>
  <xdr:twoCellAnchor editAs="oneCell">
    <xdr:from>
      <xdr:col>6</xdr:col>
      <xdr:colOff>533399</xdr:colOff>
      <xdr:row>0</xdr:row>
      <xdr:rowOff>142235</xdr:rowOff>
    </xdr:from>
    <xdr:to>
      <xdr:col>9</xdr:col>
      <xdr:colOff>142875</xdr:colOff>
      <xdr:row>1</xdr:row>
      <xdr:rowOff>238125</xdr:rowOff>
    </xdr:to>
    <xdr:pic>
      <xdr:nvPicPr>
        <xdr:cNvPr id="19" name="Picture 2" descr="GovMB_Logo_blk10.jpg"/>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534149" y="142235"/>
          <a:ext cx="2152651" cy="457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03/Farm%20Management/Production%20Economics/COP%20Forage/2022/cop-forage-pasture-2022%20DRAFT%20v0.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Summary"/>
      <sheetName val="Risk"/>
      <sheetName val="Pasture Insurance"/>
      <sheetName val="Input"/>
      <sheetName val="Fixed Cost Input"/>
      <sheetName val="Assumptions"/>
      <sheetName val="Example"/>
      <sheetName val="AUM  Carrying Capcity Worksheet"/>
      <sheetName val="Pasture Ins Calc (HIDE)"/>
      <sheetName val="Chart (HIDE)"/>
    </sheetNames>
    <sheetDataSet>
      <sheetData sheetId="0" refreshError="1"/>
      <sheetData sheetId="1" refreshError="1"/>
      <sheetData sheetId="2" refreshError="1"/>
      <sheetData sheetId="3" refreshError="1"/>
      <sheetData sheetId="4">
        <row r="4">
          <cell r="E4">
            <v>160</v>
          </cell>
        </row>
      </sheetData>
      <sheetData sheetId="5" refreshError="1"/>
      <sheetData sheetId="6" refreshError="1"/>
      <sheetData sheetId="7" refreshError="1"/>
      <sheetData sheetId="8" refreshError="1"/>
      <sheetData sheetId="9">
        <row r="196">
          <cell r="C196" t="str">
            <v>(Select Animal Type)</v>
          </cell>
        </row>
        <row r="197">
          <cell r="C197" t="str">
            <v>Cows</v>
          </cell>
        </row>
        <row r="198">
          <cell r="C198" t="str">
            <v>Sheep</v>
          </cell>
        </row>
        <row r="199">
          <cell r="C199" t="str">
            <v>Goats</v>
          </cell>
        </row>
        <row r="200">
          <cell r="C200" t="str">
            <v>Horses</v>
          </cell>
        </row>
        <row r="201">
          <cell r="C201" t="str">
            <v>Donkeys_and_ Ponies</v>
          </cell>
        </row>
        <row r="202">
          <cell r="C202" t="str">
            <v>Llamas_and_Alpacas</v>
          </cell>
        </row>
        <row r="203">
          <cell r="C203" t="str">
            <v>Elk</v>
          </cell>
        </row>
        <row r="204">
          <cell r="C204" t="str">
            <v>Deer</v>
          </cell>
        </row>
        <row r="205">
          <cell r="C205" t="str">
            <v>Bison</v>
          </cell>
        </row>
      </sheetData>
      <sheetData sheetId="10">
        <row r="129">
          <cell r="G129" t="str">
            <v>Improved Pasture Indemnity = $4,538 or $48/hd    Unimproved Pasture Indemnity = $1,562 or $49/head</v>
          </cell>
        </row>
      </sheetData>
    </sheetDataSet>
  </externalBook>
</externalLink>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51"/>
  <sheetViews>
    <sheetView tabSelected="1" zoomScaleNormal="100" workbookViewId="0">
      <selection activeCell="C11" sqref="C11"/>
    </sheetView>
  </sheetViews>
  <sheetFormatPr defaultRowHeight="12.75" x14ac:dyDescent="0.2"/>
  <cols>
    <col min="1" max="1" width="4.28515625" customWidth="1"/>
    <col min="2" max="2" width="43.7109375" customWidth="1"/>
    <col min="3" max="9" width="12.7109375" customWidth="1"/>
    <col min="10" max="12" width="10.7109375" customWidth="1"/>
    <col min="13" max="13" width="12.42578125" customWidth="1"/>
    <col min="14" max="14" width="10.7109375" customWidth="1"/>
  </cols>
  <sheetData>
    <row r="1" spans="1:14" s="357" customFormat="1" ht="28.5" customHeight="1" x14ac:dyDescent="0.2">
      <c r="A1" s="356"/>
      <c r="B1" s="356"/>
      <c r="C1" s="356"/>
      <c r="D1" s="356"/>
      <c r="E1" s="356"/>
      <c r="F1" s="356"/>
      <c r="G1" s="356"/>
      <c r="H1" s="356"/>
      <c r="I1" s="356"/>
    </row>
    <row r="2" spans="1:14" s="357" customFormat="1" ht="38.25" customHeight="1" x14ac:dyDescent="0.2">
      <c r="A2" s="388" t="s">
        <v>279</v>
      </c>
      <c r="G2" s="389"/>
    </row>
    <row r="3" spans="1:14" s="78" customFormat="1" ht="18" x14ac:dyDescent="0.25">
      <c r="A3" s="358" t="s">
        <v>282</v>
      </c>
      <c r="B3" s="359"/>
      <c r="C3" s="359"/>
      <c r="D3" s="360"/>
      <c r="E3" s="361"/>
      <c r="G3" s="361"/>
      <c r="I3" s="360" t="s">
        <v>280</v>
      </c>
      <c r="J3" s="361">
        <f ca="1">TODAY()</f>
        <v>44958</v>
      </c>
    </row>
    <row r="4" spans="1:14" s="78" customFormat="1" ht="9" customHeight="1" x14ac:dyDescent="0.25">
      <c r="A4" s="358"/>
      <c r="B4" s="359"/>
      <c r="C4" s="359"/>
      <c r="D4" s="359"/>
      <c r="E4" s="360"/>
      <c r="F4" s="361"/>
      <c r="G4" s="361"/>
      <c r="I4" s="360"/>
      <c r="J4" s="362"/>
    </row>
    <row r="5" spans="1:14" s="392" customFormat="1" ht="15" customHeight="1" x14ac:dyDescent="0.3">
      <c r="A5" s="390" t="s">
        <v>281</v>
      </c>
      <c r="B5" s="357"/>
      <c r="C5" s="357"/>
      <c r="D5" s="78"/>
      <c r="E5" s="391"/>
      <c r="H5" s="363" t="s">
        <v>315</v>
      </c>
    </row>
    <row r="6" spans="1:14" s="392" customFormat="1" ht="7.5" customHeight="1" x14ac:dyDescent="0.3">
      <c r="A6" s="390"/>
      <c r="B6" s="357"/>
      <c r="C6" s="357"/>
      <c r="D6" s="78"/>
      <c r="E6" s="391"/>
      <c r="F6" s="363"/>
    </row>
    <row r="7" spans="1:14" s="394" customFormat="1" ht="18" x14ac:dyDescent="0.25">
      <c r="A7" s="593" t="s">
        <v>300</v>
      </c>
      <c r="B7" s="593"/>
      <c r="C7" s="593"/>
      <c r="D7" s="593"/>
      <c r="E7" s="593"/>
      <c r="F7" s="593"/>
      <c r="G7" s="593"/>
      <c r="H7" s="593"/>
      <c r="I7" s="593"/>
      <c r="J7" s="593"/>
      <c r="L7" s="405"/>
    </row>
    <row r="8" spans="1:14" s="392" customFormat="1" ht="7.5" customHeight="1" thickBot="1" x14ac:dyDescent="0.25">
      <c r="F8" s="6"/>
    </row>
    <row r="9" spans="1:14" s="394" customFormat="1" ht="36" customHeight="1" thickBot="1" x14ac:dyDescent="0.3">
      <c r="A9" s="368"/>
      <c r="B9" s="395"/>
      <c r="C9" s="365" t="s">
        <v>132</v>
      </c>
      <c r="D9" s="597" t="s">
        <v>183</v>
      </c>
      <c r="E9" s="598"/>
      <c r="F9" s="597" t="s">
        <v>245</v>
      </c>
      <c r="G9" s="599"/>
      <c r="H9" s="332" t="s">
        <v>244</v>
      </c>
      <c r="I9" s="396"/>
    </row>
    <row r="10" spans="1:14" s="394" customFormat="1" ht="30.75" customHeight="1" thickBot="1" x14ac:dyDescent="0.3">
      <c r="A10" s="369"/>
      <c r="B10" s="397"/>
      <c r="C10" s="366" t="str">
        <f>Q178</f>
        <v>80% Coverage</v>
      </c>
      <c r="D10" s="398" t="s">
        <v>181</v>
      </c>
      <c r="E10" s="399" t="s">
        <v>182</v>
      </c>
      <c r="F10" s="400" t="s">
        <v>181</v>
      </c>
      <c r="G10" s="401" t="s">
        <v>182</v>
      </c>
      <c r="H10" s="402"/>
      <c r="I10" s="396"/>
    </row>
    <row r="11" spans="1:14" s="405" customFormat="1" ht="30.75" customHeight="1" thickBot="1" x14ac:dyDescent="0.3">
      <c r="A11" s="376" t="s">
        <v>248</v>
      </c>
      <c r="B11" s="403"/>
      <c r="C11" s="367" t="s">
        <v>313</v>
      </c>
      <c r="D11" s="335" t="s">
        <v>141</v>
      </c>
      <c r="E11" s="343" t="str">
        <f>D11</f>
        <v>80% Coverage</v>
      </c>
      <c r="F11" s="342" t="str">
        <f>D11</f>
        <v>80% Coverage</v>
      </c>
      <c r="G11" s="342" t="str">
        <f>D11</f>
        <v>80% Coverage</v>
      </c>
      <c r="H11" s="364" t="s">
        <v>141</v>
      </c>
      <c r="I11" s="404" t="s">
        <v>289</v>
      </c>
      <c r="N11" s="394"/>
    </row>
    <row r="12" spans="1:14" s="405" customFormat="1" ht="7.5" customHeight="1" x14ac:dyDescent="0.25">
      <c r="A12" s="370"/>
      <c r="B12" s="371"/>
      <c r="C12" s="336"/>
      <c r="D12" s="243"/>
      <c r="E12" s="254"/>
      <c r="F12" s="243"/>
      <c r="G12" s="243"/>
      <c r="H12" s="253"/>
      <c r="I12" s="406"/>
      <c r="N12" s="394"/>
    </row>
    <row r="13" spans="1:14" s="405" customFormat="1" ht="18" customHeight="1" x14ac:dyDescent="0.25">
      <c r="A13" s="407" t="s">
        <v>186</v>
      </c>
      <c r="B13" s="373" t="s">
        <v>184</v>
      </c>
      <c r="C13" s="277">
        <v>0</v>
      </c>
      <c r="D13" s="244">
        <v>160</v>
      </c>
      <c r="E13" s="256">
        <v>0</v>
      </c>
      <c r="F13" s="244">
        <v>0</v>
      </c>
      <c r="G13" s="244">
        <v>80</v>
      </c>
      <c r="H13" s="255">
        <v>0</v>
      </c>
      <c r="I13" s="412">
        <f>SUM(C13:H13)</f>
        <v>240</v>
      </c>
      <c r="K13" s="363" t="s">
        <v>298</v>
      </c>
    </row>
    <row r="14" spans="1:14" s="405" customFormat="1" ht="7.5" customHeight="1" x14ac:dyDescent="0.25">
      <c r="A14" s="407"/>
      <c r="B14" s="373"/>
      <c r="C14" s="277"/>
      <c r="D14" s="244"/>
      <c r="E14" s="256"/>
      <c r="F14" s="244"/>
      <c r="G14" s="540"/>
      <c r="H14" s="277"/>
      <c r="I14" s="545"/>
      <c r="K14" s="363"/>
    </row>
    <row r="15" spans="1:14" s="405" customFormat="1" ht="18" customHeight="1" x14ac:dyDescent="0.25">
      <c r="A15" s="407"/>
      <c r="B15" s="555" t="str">
        <f>"Forage Yield - # of "&amp;TEXT('Forage Insurance'!C26,"#,###")&amp;" lb. bales/acre"</f>
        <v>Forage Yield - # of 1,500 lb. bales/acre</v>
      </c>
      <c r="C15" s="546"/>
      <c r="D15" s="572"/>
      <c r="E15" s="576"/>
      <c r="F15" s="572"/>
      <c r="G15" s="540"/>
      <c r="H15" s="277"/>
      <c r="I15" s="545"/>
      <c r="K15" s="363"/>
    </row>
    <row r="16" spans="1:14" s="405" customFormat="1" ht="18" customHeight="1" x14ac:dyDescent="0.25">
      <c r="A16" s="407"/>
      <c r="B16" s="554" t="s">
        <v>310</v>
      </c>
      <c r="C16" s="570">
        <f>IF($C$11=$Q$174,HLOOKUP($C$24,'DATA (HIDE)'!$A$111:$G$124,2,FALSE),HLOOKUP($C$24,'DATA (HIDE)'!$I$111:$O$124,2,FALSE))*2000/C26</f>
        <v>1.996</v>
      </c>
      <c r="D16" s="573">
        <f>IF($D$11=$Q$177,HLOOKUP($C$24,'DATA (HIDE)'!$I$93:$O$106,2,FALSE),HLOOKUP($C$24,'DATA (HIDE)'!$A$93:$G$106,2,FALSE))*2000/C26</f>
        <v>1.7386666666666666</v>
      </c>
      <c r="E16" s="577">
        <f>IF($E$11=$Q$177,HLOOKUP($C$24,'DATA (HIDE)'!$I$76:$O$89,2,FALSE),HLOOKUP($C$24,'DATA (HIDE)'!$A$76:$G$89,2,FALSE))*2000/C26</f>
        <v>2.7679999999999998</v>
      </c>
      <c r="F16" s="573">
        <f>IF($F$11=$Q$177,HLOOKUP($C$24,'DATA (HIDE)'!$I$59:$O$72,2,FALSE),HLOOKUP($C$24,'DATA (HIDE)'!$A$59:$G$72,2,FALSE))*2000/C26</f>
        <v>2.2799999999999998</v>
      </c>
      <c r="G16" s="62">
        <f>IF($G$11=$Q$177,HLOOKUP($C$24,'DATA (HIDE)'!$I$42:$O$55,2,FALSE),HLOOKUP($C$24,'DATA (HIDE)'!$A$42:$G$55,2,FALSE))*2000/C26</f>
        <v>3.1933333333333334</v>
      </c>
      <c r="H16" s="565"/>
      <c r="I16" s="545"/>
      <c r="K16" s="363"/>
    </row>
    <row r="17" spans="1:12" s="405" customFormat="1" ht="18" customHeight="1" x14ac:dyDescent="0.25">
      <c r="A17" s="407"/>
      <c r="B17" s="568" t="s">
        <v>311</v>
      </c>
      <c r="C17" s="567">
        <v>0</v>
      </c>
      <c r="D17" s="574">
        <v>0</v>
      </c>
      <c r="E17" s="578">
        <v>0</v>
      </c>
      <c r="F17" s="574">
        <v>0</v>
      </c>
      <c r="G17" s="569">
        <v>0</v>
      </c>
      <c r="H17" s="408"/>
      <c r="I17" s="545"/>
      <c r="K17" s="363"/>
    </row>
    <row r="18" spans="1:12" s="405" customFormat="1" ht="18" hidden="1" customHeight="1" x14ac:dyDescent="0.25">
      <c r="A18" s="407"/>
      <c r="B18" s="556" t="s">
        <v>309</v>
      </c>
      <c r="C18" s="571">
        <f>IF(C17=0,C16/(IF($C$11=$Q$174,HLOOKUP($C$24,'DATA (HIDE)'!$A$111:$G$124,2,FALSE),HLOOKUP($C$24,'DATA (HIDE)'!$I$111:$O$124,2,FALSE))*2000/C26),C17/(IF($C$11=$Q$174,HLOOKUP($C$24,'DATA (HIDE)'!$A$111:$G$124,2,FALSE),HLOOKUP($C$24,'DATA (HIDE)'!$I$111:$O$124,2,FALSE))*2000/C26))</f>
        <v>1</v>
      </c>
      <c r="D18" s="575">
        <f>IF(D17=0,D16/(IF($D$11=$Q$177,HLOOKUP($C$24,'DATA (HIDE)'!$I$93:$O$106,2,FALSE),HLOOKUP($C$24,'DATA (HIDE)'!$A$93:$G$106,2,FALSE))*2000/C26),D17/(IF($D$11=$Q$177,HLOOKUP($C$24,'DATA (HIDE)'!$I$93:$O$106,2,FALSE),HLOOKUP($C$24,'DATA (HIDE)'!$A$93:$G$106,2,FALSE))*2000/C26))</f>
        <v>1</v>
      </c>
      <c r="E18" s="579">
        <f>IF(E17=0,E16/(IF($E$11=$Q$177,HLOOKUP($C$24,'DATA (HIDE)'!$I$76:$O$89,2,FALSE),HLOOKUP($C$24,'DATA (HIDE)'!$A$76:$G$89,2,FALSE))*2000/C26),E17/(IF($E$11=$Q$177,HLOOKUP($C$24,'DATA (HIDE)'!$I$76:$O$89,2,FALSE),HLOOKUP($C$24,'DATA (HIDE)'!$A$76:$G$89,2,FALSE))*2000/C26))</f>
        <v>1</v>
      </c>
      <c r="F18" s="575">
        <f>IF(F17=0,F16/(IF($F$11=$Q$177,HLOOKUP($C$24,'DATA (HIDE)'!$I$59:$O$72,2,FALSE),HLOOKUP($C$24,'DATA (HIDE)'!$A$59:$G$72,2,FALSE))*2000/C26),F17/(IF($F$11=$Q$177,HLOOKUP($C$24,'DATA (HIDE)'!$I$59:$O$72,2,FALSE),HLOOKUP($C$24,'DATA (HIDE)'!$A$59:$G$72,2,FALSE))*2000/C26))</f>
        <v>1</v>
      </c>
      <c r="G18" s="566">
        <f>IF(G17=0,G16/(IF($G$11=$Q$177,HLOOKUP($C$24,'DATA (HIDE)'!$I$42:$O$55,2,FALSE),HLOOKUP($C$24,'DATA (HIDE)'!$A$42:$G$55,2,FALSE))*2000/C26),G17/(IF($G$11=$Q$177,HLOOKUP($C$24,'DATA (HIDE)'!$I$42:$O$55,2,FALSE),HLOOKUP($C$24,'DATA (HIDE)'!$A$42:$G$55,2,FALSE))*2000/C26))</f>
        <v>1</v>
      </c>
      <c r="H18" s="557"/>
      <c r="I18" s="558"/>
      <c r="K18" s="363"/>
    </row>
    <row r="19" spans="1:12" s="405" customFormat="1" ht="7.5" customHeight="1" x14ac:dyDescent="0.25">
      <c r="A19" s="407"/>
      <c r="B19" s="373"/>
      <c r="C19" s="277"/>
      <c r="D19" s="572"/>
      <c r="E19" s="576"/>
      <c r="F19" s="572"/>
      <c r="G19" s="540"/>
      <c r="H19" s="277"/>
      <c r="I19" s="545"/>
      <c r="K19" s="363"/>
    </row>
    <row r="20" spans="1:12" s="405" customFormat="1" ht="18" customHeight="1" x14ac:dyDescent="0.25">
      <c r="A20" s="407"/>
      <c r="B20" s="554" t="s">
        <v>308</v>
      </c>
      <c r="C20" s="546">
        <v>1</v>
      </c>
      <c r="D20" s="351">
        <v>1</v>
      </c>
      <c r="E20" s="352">
        <v>1.25</v>
      </c>
      <c r="F20" s="351">
        <v>1.5</v>
      </c>
      <c r="G20" s="352">
        <v>2</v>
      </c>
      <c r="H20" s="546">
        <v>1.5</v>
      </c>
      <c r="I20" s="545"/>
      <c r="K20" s="363"/>
    </row>
    <row r="21" spans="1:12" s="405" customFormat="1" ht="18" customHeight="1" x14ac:dyDescent="0.25">
      <c r="A21" s="407"/>
      <c r="B21" s="582" t="s">
        <v>312</v>
      </c>
      <c r="C21" s="547">
        <f t="shared" ref="C21:H21" si="0">C61</f>
        <v>0.50100200400801598</v>
      </c>
      <c r="D21" s="548">
        <f t="shared" si="0"/>
        <v>0.57515337423312884</v>
      </c>
      <c r="E21" s="549">
        <f t="shared" si="0"/>
        <v>0.45158959537572252</v>
      </c>
      <c r="F21" s="548">
        <f t="shared" si="0"/>
        <v>0.65789473684210531</v>
      </c>
      <c r="G21" s="549">
        <f t="shared" si="0"/>
        <v>0.62630480167014613</v>
      </c>
      <c r="H21" s="550">
        <f t="shared" si="0"/>
        <v>0.51136363636363635</v>
      </c>
      <c r="I21" s="545"/>
      <c r="K21" s="363"/>
    </row>
    <row r="22" spans="1:12" s="405" customFormat="1" ht="7.5" customHeight="1" thickBot="1" x14ac:dyDescent="0.3">
      <c r="A22" s="430"/>
      <c r="B22" s="57"/>
      <c r="C22" s="542"/>
      <c r="D22" s="544"/>
      <c r="E22" s="543"/>
      <c r="F22" s="544"/>
      <c r="G22" s="543"/>
      <c r="H22" s="542"/>
      <c r="I22" s="541"/>
      <c r="K22" s="363"/>
    </row>
    <row r="23" spans="1:12" s="392" customFormat="1" ht="7.5" customHeight="1" thickBot="1" x14ac:dyDescent="0.25"/>
    <row r="24" spans="1:12" s="392" customFormat="1" ht="16.5" thickBot="1" x14ac:dyDescent="0.3">
      <c r="B24" s="4" t="s">
        <v>246</v>
      </c>
      <c r="C24" s="602" t="s">
        <v>147</v>
      </c>
      <c r="D24" s="603"/>
      <c r="F24" s="4" t="s">
        <v>165</v>
      </c>
      <c r="H24" s="341">
        <v>1</v>
      </c>
    </row>
    <row r="25" spans="1:12" s="392" customFormat="1" ht="16.5" thickBot="1" x14ac:dyDescent="0.25">
      <c r="B25" s="4" t="s">
        <v>247</v>
      </c>
      <c r="C25" s="602" t="s">
        <v>164</v>
      </c>
      <c r="D25" s="603"/>
      <c r="F25" s="6" t="s">
        <v>249</v>
      </c>
    </row>
    <row r="26" spans="1:12" s="392" customFormat="1" ht="15.75" x14ac:dyDescent="0.25">
      <c r="B26" s="4" t="s">
        <v>35</v>
      </c>
      <c r="C26" s="35">
        <v>1500</v>
      </c>
    </row>
    <row r="27" spans="1:12" s="392" customFormat="1" ht="13.5" customHeight="1" x14ac:dyDescent="0.2"/>
    <row r="28" spans="1:12" s="392" customFormat="1" ht="7.5" customHeight="1" x14ac:dyDescent="0.2">
      <c r="F28" s="6"/>
    </row>
    <row r="29" spans="1:12" s="394" customFormat="1" ht="18" x14ac:dyDescent="0.25">
      <c r="A29" s="593" t="s">
        <v>303</v>
      </c>
      <c r="B29" s="593"/>
      <c r="C29" s="593"/>
      <c r="D29" s="593"/>
      <c r="E29" s="593"/>
      <c r="F29" s="593"/>
      <c r="G29" s="593"/>
      <c r="H29" s="593"/>
      <c r="I29" s="593"/>
      <c r="J29" s="593"/>
      <c r="L29" s="405"/>
    </row>
    <row r="30" spans="1:12" s="394" customFormat="1" ht="7.5" customHeight="1" x14ac:dyDescent="0.25">
      <c r="A30" s="4"/>
      <c r="B30" s="4"/>
      <c r="C30" s="4"/>
      <c r="D30" s="4"/>
      <c r="E30" s="4"/>
      <c r="F30" s="4"/>
      <c r="G30" s="4"/>
      <c r="H30" s="4"/>
      <c r="I30" s="4"/>
      <c r="J30" s="4"/>
      <c r="L30" s="405"/>
    </row>
    <row r="31" spans="1:12" s="532" customFormat="1" ht="51" customHeight="1" x14ac:dyDescent="0.25">
      <c r="B31" s="1"/>
      <c r="C31" s="534" t="s">
        <v>295</v>
      </c>
      <c r="D31" s="534" t="s">
        <v>296</v>
      </c>
      <c r="E31" s="534" t="s">
        <v>297</v>
      </c>
    </row>
    <row r="32" spans="1:12" s="532" customFormat="1" ht="18" customHeight="1" x14ac:dyDescent="0.25">
      <c r="B32" s="13" t="s">
        <v>292</v>
      </c>
      <c r="C32" s="533">
        <f>I45</f>
        <v>5136</v>
      </c>
      <c r="D32" s="533">
        <f>I55</f>
        <v>58574.448204225671</v>
      </c>
      <c r="E32" s="533">
        <f>I66</f>
        <v>14485.217407081489</v>
      </c>
    </row>
    <row r="33" spans="1:13" s="532" customFormat="1" ht="18" customHeight="1" x14ac:dyDescent="0.25">
      <c r="B33" s="13" t="s">
        <v>294</v>
      </c>
      <c r="C33" s="539" t="s">
        <v>207</v>
      </c>
      <c r="D33" s="539" t="s">
        <v>207</v>
      </c>
      <c r="E33" s="533">
        <f>I71</f>
        <v>3199.6806705917566</v>
      </c>
    </row>
    <row r="34" spans="1:13" s="532" customFormat="1" ht="18" customHeight="1" x14ac:dyDescent="0.25">
      <c r="B34" s="13" t="s">
        <v>293</v>
      </c>
      <c r="C34" s="533">
        <f>J139</f>
        <v>420</v>
      </c>
      <c r="D34" s="533">
        <f>H139</f>
        <v>8000</v>
      </c>
      <c r="E34" s="533">
        <f>H151</f>
        <v>2077.226244352948</v>
      </c>
    </row>
    <row r="35" spans="1:13" s="532" customFormat="1" ht="24" customHeight="1" x14ac:dyDescent="0.25">
      <c r="B35" s="537" t="s">
        <v>289</v>
      </c>
      <c r="C35" s="538">
        <f>SUM(C32:C34)</f>
        <v>5556</v>
      </c>
      <c r="D35" s="538">
        <f t="shared" ref="D35:E35" si="1">SUM(D32:D34)</f>
        <v>66574.448204225671</v>
      </c>
      <c r="E35" s="538">
        <f t="shared" si="1"/>
        <v>19762.124322026193</v>
      </c>
    </row>
    <row r="36" spans="1:13" s="392" customFormat="1" ht="7.5" customHeight="1" x14ac:dyDescent="0.2"/>
    <row r="37" spans="1:13" s="394" customFormat="1" ht="18" customHeight="1" x14ac:dyDescent="0.25">
      <c r="A37" s="593" t="s">
        <v>277</v>
      </c>
      <c r="B37" s="593"/>
      <c r="C37" s="593"/>
      <c r="D37" s="593"/>
      <c r="E37" s="593"/>
      <c r="F37" s="593"/>
      <c r="G37" s="593"/>
      <c r="H37" s="593"/>
      <c r="I37" s="593"/>
      <c r="J37" s="393"/>
    </row>
    <row r="38" spans="1:13" s="394" customFormat="1" ht="7.5" customHeight="1" x14ac:dyDescent="0.25">
      <c r="A38" s="74"/>
      <c r="B38" s="74"/>
      <c r="C38" s="76"/>
      <c r="D38" s="76"/>
      <c r="E38" s="76"/>
      <c r="F38" s="76"/>
      <c r="K38" s="76"/>
      <c r="L38" s="76"/>
      <c r="M38" s="76"/>
    </row>
    <row r="39" spans="1:13" s="405" customFormat="1" ht="7.5" customHeight="1" thickBot="1" x14ac:dyDescent="0.3">
      <c r="A39" s="375"/>
      <c r="B39" s="413"/>
      <c r="C39" s="408"/>
      <c r="D39" s="409"/>
      <c r="E39" s="410"/>
      <c r="F39" s="409"/>
      <c r="G39" s="409"/>
      <c r="H39" s="411"/>
      <c r="I39" s="414"/>
    </row>
    <row r="40" spans="1:13" s="12" customFormat="1" ht="15.75" x14ac:dyDescent="0.25">
      <c r="A40" s="529" t="s">
        <v>178</v>
      </c>
      <c r="B40" s="415"/>
      <c r="C40" s="383"/>
      <c r="D40" s="384"/>
      <c r="E40" s="385"/>
      <c r="F40" s="384"/>
      <c r="G40" s="384"/>
      <c r="H40" s="386"/>
      <c r="I40" s="416"/>
    </row>
    <row r="41" spans="1:13" s="405" customFormat="1" ht="18" customHeight="1" x14ac:dyDescent="0.25">
      <c r="A41" s="407" t="s">
        <v>187</v>
      </c>
      <c r="B41" s="413" t="s">
        <v>168</v>
      </c>
      <c r="C41" s="279">
        <f>IF($C$11=$Q$174,HLOOKUP($C$24,'DATA (HIDE)'!$A$111:$G$124,3,FALSE),HLOOKUP($C$24,'DATA (HIDE)'!$I$111:$O$124,3,FALSE))</f>
        <v>1.4970000000000001</v>
      </c>
      <c r="D41" s="246">
        <f>IF($D$11=$Q$177,HLOOKUP($C$24,'DATA (HIDE)'!$I$93:$O$106,3,FALSE),HLOOKUP($C$24,'DATA (HIDE)'!$A$93:$G$106,3,FALSE))</f>
        <v>1.304</v>
      </c>
      <c r="E41" s="260">
        <f>IF($E$11=$Q$177,HLOOKUP($C$24,'DATA (HIDE)'!$I$76:$O$89,3,FALSE),HLOOKUP($C$24,'DATA (HIDE)'!$A$76:$G$89,3,FALSE))</f>
        <v>2.0760000000000001</v>
      </c>
      <c r="F41" s="246">
        <f>IF($F$11=$Q$177,HLOOKUP($C$24,'DATA (HIDE)'!$I$59:$O$72,3,FALSE),HLOOKUP($C$24,'DATA (HIDE)'!$A$59:$G$72,3,FALSE))</f>
        <v>1.71</v>
      </c>
      <c r="G41" s="246">
        <f>IF($G$11=$Q$177,HLOOKUP($C$24,'DATA (HIDE)'!$I$42:$O$55,3,FALSE),HLOOKUP($C$24,'DATA (HIDE)'!$A$42:$G$55,3,FALSE))</f>
        <v>2.395</v>
      </c>
      <c r="H41" s="259">
        <f>HLOOKUP($C$25,'DATA (HIDE)'!$A$128:$P$140,2,FALSE)</f>
        <v>2.2000000000000002</v>
      </c>
      <c r="I41" s="414"/>
    </row>
    <row r="42" spans="1:13" s="405" customFormat="1" ht="18" customHeight="1" x14ac:dyDescent="0.25">
      <c r="A42" s="407" t="s">
        <v>188</v>
      </c>
      <c r="B42" s="417" t="str">
        <f>"Probable Yield ("&amp;TEXT('Forage Insurance'!C26,"#,###")&amp;" lb. bales/ac)"</f>
        <v>Probable Yield (1,500 lb. bales/ac)</v>
      </c>
      <c r="C42" s="296">
        <f>ROUND((C41*2000)/'Forage Insurance'!$C$26,2)</f>
        <v>2</v>
      </c>
      <c r="D42" s="333">
        <f>ROUND((D41*2000)/'Forage Insurance'!$C$26,2)</f>
        <v>1.74</v>
      </c>
      <c r="E42" s="293">
        <f>ROUND((E41*2000)/'Forage Insurance'!$C$26,2)</f>
        <v>2.77</v>
      </c>
      <c r="F42" s="333">
        <f>ROUND((F41*2000)/'Forage Insurance'!$C$26,2)</f>
        <v>2.2799999999999998</v>
      </c>
      <c r="G42" s="293">
        <f>ROUND((G41*2000)/'Forage Insurance'!$C$26,2)</f>
        <v>3.19</v>
      </c>
      <c r="H42" s="294">
        <f>ROUND((H41*2000)/'Forage Insurance'!$C$26,2)</f>
        <v>2.93</v>
      </c>
      <c r="I42" s="414"/>
    </row>
    <row r="43" spans="1:13" s="405" customFormat="1" ht="18" customHeight="1" x14ac:dyDescent="0.25">
      <c r="A43" s="407" t="s">
        <v>189</v>
      </c>
      <c r="B43" s="417" t="str">
        <f>"Prob. Total No. of "&amp;TEXT('Forage Insurance'!C26,"#,###")&amp;" lb. Bales"</f>
        <v>Prob. Total No. of 1,500 lb. Bales</v>
      </c>
      <c r="C43" s="283">
        <f t="shared" ref="C43:H43" si="2">ROUND(C42*C13,0)</f>
        <v>0</v>
      </c>
      <c r="D43" s="334">
        <f t="shared" si="2"/>
        <v>278</v>
      </c>
      <c r="E43" s="297">
        <f t="shared" si="2"/>
        <v>0</v>
      </c>
      <c r="F43" s="334">
        <f t="shared" si="2"/>
        <v>0</v>
      </c>
      <c r="G43" s="297">
        <f t="shared" si="2"/>
        <v>255</v>
      </c>
      <c r="H43" s="291">
        <f t="shared" si="2"/>
        <v>0</v>
      </c>
      <c r="I43" s="414"/>
    </row>
    <row r="44" spans="1:13" s="405" customFormat="1" ht="18" customHeight="1" x14ac:dyDescent="0.25">
      <c r="A44" s="407" t="s">
        <v>190</v>
      </c>
      <c r="B44" s="418" t="s">
        <v>126</v>
      </c>
      <c r="C44" s="284">
        <f>IF($C$11=$Q$174,HLOOKUP($C$24,'DATA (HIDE)'!$A$111:$G$124,6,FALSE),HLOOKUP($C$24,'DATA (HIDE)'!$I$111:$O$124,6,FALSE))</f>
        <v>8.4600000000000009</v>
      </c>
      <c r="D44" s="580">
        <f>IF($D$11=$Q$177,HLOOKUP($C$24,'DATA (HIDE)'!$I$93:$O$106,6,FALSE),HLOOKUP($C$24,'DATA (HIDE)'!$A$93:$G$106,6,FALSE))</f>
        <v>17.78</v>
      </c>
      <c r="E44" s="581">
        <f>IF($E$11=$Q$177,HLOOKUP($C$24,'DATA (HIDE)'!$I$76:$O$89,6,FALSE),HLOOKUP($C$24,'DATA (HIDE)'!$A$76:$G$89,6,FALSE))</f>
        <v>17.78</v>
      </c>
      <c r="F44" s="580">
        <f>IF($F$11=$Q$177,HLOOKUP($C$24,'DATA (HIDE)'!$I$59:$O$72,6,FALSE),HLOOKUP($C$24,'DATA (HIDE)'!$A$59:$G$72,6,FALSE))</f>
        <v>28.64</v>
      </c>
      <c r="G44" s="580">
        <f>IF($G$11=$Q$177,HLOOKUP($C$24,'DATA (HIDE)'!$I$42:$O$55,6,FALSE),HLOOKUP($C$24,'DATA (HIDE)'!$A$42:$G$55,6,FALSE))</f>
        <v>28.64</v>
      </c>
      <c r="H44" s="287">
        <f>HLOOKUP($C$25,'DATA (HIDE)'!$A$128:$P$140,5,FALSE)</f>
        <v>19.39</v>
      </c>
      <c r="I44" s="414"/>
    </row>
    <row r="45" spans="1:13" s="421" customFormat="1" ht="24" customHeight="1" x14ac:dyDescent="0.2">
      <c r="A45" s="419" t="s">
        <v>191</v>
      </c>
      <c r="B45" s="420" t="s">
        <v>284</v>
      </c>
      <c r="C45" s="378">
        <f t="shared" ref="C45:H45" si="3">C44*C13</f>
        <v>0</v>
      </c>
      <c r="D45" s="379">
        <f t="shared" si="3"/>
        <v>2844.8</v>
      </c>
      <c r="E45" s="380">
        <f t="shared" si="3"/>
        <v>0</v>
      </c>
      <c r="F45" s="379">
        <f t="shared" si="3"/>
        <v>0</v>
      </c>
      <c r="G45" s="379">
        <f t="shared" si="3"/>
        <v>2291.1999999999998</v>
      </c>
      <c r="H45" s="381">
        <f t="shared" si="3"/>
        <v>0</v>
      </c>
      <c r="I45" s="378">
        <f>SUM(C45:H45)</f>
        <v>5136</v>
      </c>
    </row>
    <row r="46" spans="1:13" s="405" customFormat="1" ht="18" customHeight="1" x14ac:dyDescent="0.25">
      <c r="A46" s="407" t="s">
        <v>194</v>
      </c>
      <c r="B46" s="372" t="s">
        <v>236</v>
      </c>
      <c r="C46" s="281">
        <f t="shared" ref="C46:H46" si="4">C44/C54</f>
        <v>7.0128461850832477E-2</v>
      </c>
      <c r="D46" s="248">
        <f t="shared" si="4"/>
        <v>0.10268336817398321</v>
      </c>
      <c r="E46" s="264">
        <f t="shared" si="4"/>
        <v>6.4478478630622796E-2</v>
      </c>
      <c r="F46" s="248">
        <f t="shared" si="4"/>
        <v>0.10395315842157946</v>
      </c>
      <c r="G46" s="248">
        <f t="shared" si="4"/>
        <v>7.422125298576239E-2</v>
      </c>
      <c r="H46" s="263">
        <f t="shared" si="4"/>
        <v>8.3153788622125843E-2</v>
      </c>
      <c r="I46" s="414"/>
    </row>
    <row r="47" spans="1:13" s="392" customFormat="1" ht="7.5" customHeight="1" x14ac:dyDescent="0.2">
      <c r="A47" s="422"/>
      <c r="B47" s="423"/>
      <c r="C47" s="424"/>
      <c r="D47" s="425"/>
      <c r="E47" s="423"/>
      <c r="F47" s="425"/>
      <c r="G47" s="425"/>
      <c r="H47" s="426"/>
      <c r="I47" s="427"/>
    </row>
    <row r="48" spans="1:13" s="405" customFormat="1" ht="18" x14ac:dyDescent="0.25">
      <c r="A48" s="530" t="s">
        <v>179</v>
      </c>
      <c r="B48" s="428"/>
      <c r="C48" s="279"/>
      <c r="D48" s="246"/>
      <c r="E48" s="260"/>
      <c r="F48" s="246"/>
      <c r="G48" s="246"/>
      <c r="H48" s="259"/>
      <c r="I48" s="414"/>
    </row>
    <row r="49" spans="1:9" s="405" customFormat="1" ht="18" customHeight="1" x14ac:dyDescent="0.25">
      <c r="A49" s="407" t="s">
        <v>193</v>
      </c>
      <c r="B49" s="428" t="s">
        <v>192</v>
      </c>
      <c r="C49" s="279">
        <f>IF($C$11=$Q$174,HLOOKUP($C$24,'DATA (HIDE)'!$A$111:$G$124,4,FALSE),HLOOKUP($C$24,'DATA (HIDE)'!$I$111:$O$124,4,FALSE))</f>
        <v>1.198</v>
      </c>
      <c r="D49" s="246">
        <f>IF($D$11=$Q$177,HLOOKUP($C$24,'DATA (HIDE)'!$I$93:$O$106,4,FALSE),HLOOKUP($C$24,'DATA (HIDE)'!$A$93:$G$106,4,FALSE))</f>
        <v>1.0429999999999999</v>
      </c>
      <c r="E49" s="260">
        <f>IF($E$11=$Q$177,HLOOKUP($C$24,'DATA (HIDE)'!$I$76:$O$89,4,FALSE),HLOOKUP($C$24,'DATA (HIDE)'!$A$76:$G$89,4,FALSE))</f>
        <v>1.661</v>
      </c>
      <c r="F49" s="246">
        <f>IF($F$11=$Q$177,HLOOKUP($C$24,'DATA (HIDE)'!$I$59:$O$72,4,FALSE),HLOOKUP($C$24,'DATA (HIDE)'!$A$59:$G$72,4,FALSE))</f>
        <v>1.3680000000000001</v>
      </c>
      <c r="G49" s="246">
        <f>IF($G$11=$Q$177,HLOOKUP($C$24,'DATA (HIDE)'!$I$42:$O$55,4,FALSE),HLOOKUP($C$24,'DATA (HIDE)'!$A$42:$G$55,4,FALSE))</f>
        <v>1.9159999999999999</v>
      </c>
      <c r="H49" s="259">
        <f>HLOOKUP($C$25,'DATA (HIDE)'!$A$128:$P$140,3,FALSE)</f>
        <v>1.76</v>
      </c>
      <c r="I49" s="414"/>
    </row>
    <row r="50" spans="1:9" s="405" customFormat="1" ht="18" customHeight="1" x14ac:dyDescent="0.25">
      <c r="A50" s="407" t="s">
        <v>211</v>
      </c>
      <c r="B50" s="428" t="s">
        <v>185</v>
      </c>
      <c r="C50" s="282">
        <f>IF($C$11=$Q$174,'DATA (HIDE)'!C9,'DATA (HIDE)'!C10)</f>
        <v>100.69762589471202</v>
      </c>
      <c r="D50" s="247">
        <f>'DATA (HIDE)'!$C$3</f>
        <v>166.01500485344414</v>
      </c>
      <c r="E50" s="262">
        <f>'DATA (HIDE)'!$C$3</f>
        <v>166.01500485344414</v>
      </c>
      <c r="F50" s="247">
        <f>'DATA (HIDE)'!$C$2</f>
        <v>201.39525178942404</v>
      </c>
      <c r="G50" s="247">
        <f>'DATA (HIDE)'!$C$2</f>
        <v>201.39525178942404</v>
      </c>
      <c r="H50" s="261">
        <f>'DATA (HIDE)'!C4</f>
        <v>132.49</v>
      </c>
      <c r="I50" s="414"/>
    </row>
    <row r="51" spans="1:9" s="405" customFormat="1" ht="18" customHeight="1" x14ac:dyDescent="0.25">
      <c r="A51" s="407" t="s">
        <v>212</v>
      </c>
      <c r="B51" s="417" t="str">
        <f>"Coverage ("&amp;TEXT('Forage Insurance'!C26,"#,###")&amp;" lb. bales/acre)"</f>
        <v>Coverage (1,500 lb. bales/acre)</v>
      </c>
      <c r="C51" s="296">
        <f>(2000*C49)/'Forage Insurance'!$C$26</f>
        <v>1.5973333333333333</v>
      </c>
      <c r="D51" s="295">
        <f>(2000*D49)/'Forage Insurance'!$C$26</f>
        <v>1.3906666666666667</v>
      </c>
      <c r="E51" s="293">
        <f>(2000*E49)/'Forage Insurance'!$C$26</f>
        <v>2.2146666666666666</v>
      </c>
      <c r="F51" s="295">
        <f>(2000*F49)/'Forage Insurance'!$C$26</f>
        <v>1.8240000000000001</v>
      </c>
      <c r="G51" s="295">
        <f>(2000*G49)/'Forage Insurance'!$C$26</f>
        <v>2.5546666666666669</v>
      </c>
      <c r="H51" s="288">
        <f>(2000*H49)/'Forage Insurance'!$C$26</f>
        <v>2.3466666666666667</v>
      </c>
      <c r="I51" s="414"/>
    </row>
    <row r="52" spans="1:9" s="405" customFormat="1" ht="18" customHeight="1" x14ac:dyDescent="0.25">
      <c r="A52" s="407" t="s">
        <v>213</v>
      </c>
      <c r="B52" s="417" t="str">
        <f>"Coverage No. of "&amp;TEXT('Forage Insurance'!C26,"#,###")&amp;" lb. Bales"</f>
        <v>Coverage No. of 1,500 lb. Bales</v>
      </c>
      <c r="C52" s="283">
        <f t="shared" ref="C52:H52" si="5">ROUND(C51*C13,0)</f>
        <v>0</v>
      </c>
      <c r="D52" s="250">
        <f t="shared" si="5"/>
        <v>223</v>
      </c>
      <c r="E52" s="297">
        <f t="shared" si="5"/>
        <v>0</v>
      </c>
      <c r="F52" s="250">
        <f t="shared" si="5"/>
        <v>0</v>
      </c>
      <c r="G52" s="297">
        <f t="shared" si="5"/>
        <v>204</v>
      </c>
      <c r="H52" s="274">
        <f t="shared" si="5"/>
        <v>0</v>
      </c>
      <c r="I52" s="414"/>
    </row>
    <row r="53" spans="1:9" s="405" customFormat="1" ht="18" customHeight="1" x14ac:dyDescent="0.25">
      <c r="A53" s="407" t="s">
        <v>214</v>
      </c>
      <c r="B53" s="428" t="s">
        <v>195</v>
      </c>
      <c r="C53" s="280">
        <f>IF($C$11=$Q$174,'DATA (HIDE)'!D9,'DATA (HIDE)'!D10)</f>
        <v>75.523219421034014</v>
      </c>
      <c r="D53" s="249">
        <f>'DATA (HIDE)'!$D$3</f>
        <v>124.51125364008311</v>
      </c>
      <c r="E53" s="266">
        <f>'DATA (HIDE)'!$D$3</f>
        <v>124.51125364008311</v>
      </c>
      <c r="F53" s="249">
        <f>'DATA (HIDE)'!$D$2</f>
        <v>151.04643884206803</v>
      </c>
      <c r="G53" s="249">
        <f>'DATA (HIDE)'!$D$2</f>
        <v>151.04643884206803</v>
      </c>
      <c r="H53" s="265">
        <f>'DATA (HIDE)'!D4</f>
        <v>99.367499999999993</v>
      </c>
      <c r="I53" s="414"/>
    </row>
    <row r="54" spans="1:9" s="405" customFormat="1" ht="18" customHeight="1" x14ac:dyDescent="0.25">
      <c r="A54" s="407" t="s">
        <v>215</v>
      </c>
      <c r="B54" s="418" t="s">
        <v>216</v>
      </c>
      <c r="C54" s="284">
        <f>IF($C$11=$Q$174,HLOOKUP($C$24,'DATA (HIDE)'!$A$111:$G$124,5,FALSE),HLOOKUP($C$24,'DATA (HIDE)'!$I$111:$O$124,5,FALSE))</f>
        <v>120.63575582186499</v>
      </c>
      <c r="D54" s="580">
        <f>IF($D$11=$Q$177,HLOOKUP($C$24,'DATA (HIDE)'!$I$93:$O$106,5,FALSE),HLOOKUP($C$24,'DATA (HIDE)'!$A$93:$G$106,5,FALSE))</f>
        <v>173.15365006214222</v>
      </c>
      <c r="E54" s="581">
        <f>IF($E$11=$Q$177,HLOOKUP($C$24,'DATA (HIDE)'!$I$76:$O$89,5,FALSE),HLOOKUP($C$24,'DATA (HIDE)'!$A$76:$G$89,5,FALSE))</f>
        <v>275.75092306157075</v>
      </c>
      <c r="F54" s="580">
        <f>IF($F$11=$Q$177,HLOOKUP($C$24,'DATA (HIDE)'!$I$59:$O$72,5,FALSE),HLOOKUP($C$24,'DATA (HIDE)'!$A$59:$G$72,5,FALSE))</f>
        <v>275.50870444793213</v>
      </c>
      <c r="G54" s="580">
        <f>IF($G$11=$Q$177,HLOOKUP($C$24,'DATA (HIDE)'!$I$42:$O$55,5,FALSE),HLOOKUP($C$24,'DATA (HIDE)'!$A$42:$G$55,5,FALSE))</f>
        <v>385.87330242853642</v>
      </c>
      <c r="H54" s="287">
        <f>HLOOKUP($C$25,'DATA (HIDE)'!$A$128:$P$140,4,FALSE)</f>
        <v>233.18240000000003</v>
      </c>
      <c r="I54" s="414"/>
    </row>
    <row r="55" spans="1:9" s="429" customFormat="1" ht="24" customHeight="1" x14ac:dyDescent="0.2">
      <c r="A55" s="419" t="s">
        <v>217</v>
      </c>
      <c r="B55" s="420" t="s">
        <v>285</v>
      </c>
      <c r="C55" s="378">
        <f t="shared" ref="C55:H55" si="6">C54*C13</f>
        <v>0</v>
      </c>
      <c r="D55" s="379">
        <f t="shared" si="6"/>
        <v>27704.584009942755</v>
      </c>
      <c r="E55" s="380">
        <f t="shared" si="6"/>
        <v>0</v>
      </c>
      <c r="F55" s="379">
        <f t="shared" si="6"/>
        <v>0</v>
      </c>
      <c r="G55" s="379">
        <f t="shared" si="6"/>
        <v>30869.864194282913</v>
      </c>
      <c r="H55" s="381">
        <f t="shared" si="6"/>
        <v>0</v>
      </c>
      <c r="I55" s="378">
        <f>SUM(C55:H55)</f>
        <v>58574.448204225671</v>
      </c>
    </row>
    <row r="56" spans="1:9" s="392" customFormat="1" ht="7.5" customHeight="1" thickBot="1" x14ac:dyDescent="0.25">
      <c r="A56" s="430"/>
      <c r="B56" s="431"/>
      <c r="C56" s="432"/>
      <c r="D56" s="433"/>
      <c r="E56" s="434"/>
      <c r="F56" s="433"/>
      <c r="G56" s="433"/>
      <c r="H56" s="435"/>
      <c r="I56" s="436"/>
    </row>
    <row r="57" spans="1:9" s="392" customFormat="1" ht="15.75" x14ac:dyDescent="0.25">
      <c r="A57" s="529" t="s">
        <v>197</v>
      </c>
      <c r="B57" s="437"/>
      <c r="C57" s="438"/>
      <c r="D57" s="439"/>
      <c r="E57" s="440"/>
      <c r="F57" s="439"/>
      <c r="G57" s="439"/>
      <c r="H57" s="441"/>
      <c r="I57" s="442"/>
    </row>
    <row r="58" spans="1:9" s="405" customFormat="1" ht="18" customHeight="1" x14ac:dyDescent="0.25">
      <c r="A58" s="407" t="s">
        <v>218</v>
      </c>
      <c r="B58" s="428" t="s">
        <v>301</v>
      </c>
      <c r="C58" s="288">
        <f t="shared" ref="C58:H58" si="7">C20</f>
        <v>1</v>
      </c>
      <c r="D58" s="333">
        <f t="shared" si="7"/>
        <v>1</v>
      </c>
      <c r="E58" s="294">
        <f t="shared" si="7"/>
        <v>1.25</v>
      </c>
      <c r="F58" s="333">
        <f t="shared" si="7"/>
        <v>1.5</v>
      </c>
      <c r="G58" s="294">
        <f t="shared" si="7"/>
        <v>2</v>
      </c>
      <c r="H58" s="296">
        <f t="shared" si="7"/>
        <v>1.5</v>
      </c>
      <c r="I58" s="414"/>
    </row>
    <row r="59" spans="1:9" s="405" customFormat="1" ht="18" customHeight="1" x14ac:dyDescent="0.25">
      <c r="A59" s="407"/>
      <c r="B59" s="428" t="s">
        <v>302</v>
      </c>
      <c r="C59" s="259">
        <f>(C20*'Forage Insurance'!$C$26)/2000</f>
        <v>0.75</v>
      </c>
      <c r="D59" s="353">
        <f>(D20*'Forage Insurance'!$C$26)/2000</f>
        <v>0.75</v>
      </c>
      <c r="E59" s="289">
        <f>(E20*'Forage Insurance'!$C$26)/2000</f>
        <v>0.9375</v>
      </c>
      <c r="F59" s="353">
        <f>(F20*'Forage Insurance'!$C$26)/2000</f>
        <v>1.125</v>
      </c>
      <c r="G59" s="289">
        <f>(G20*'Forage Insurance'!$C$26)/2000</f>
        <v>1.5</v>
      </c>
      <c r="H59" s="259">
        <f>(H20*'Forage Insurance'!$C$26)/2000</f>
        <v>1.125</v>
      </c>
      <c r="I59" s="414"/>
    </row>
    <row r="60" spans="1:9" s="405" customFormat="1" ht="18" customHeight="1" x14ac:dyDescent="0.25">
      <c r="A60" s="407" t="s">
        <v>219</v>
      </c>
      <c r="B60" s="428" t="str">
        <f>"Avg. Total No. of "&amp;TEXT('Forage Insurance'!C26,"#,###")&amp;" lb. Bales"</f>
        <v>Avg. Total No. of 1,500 lb. Bales</v>
      </c>
      <c r="C60" s="300">
        <f t="shared" ref="C60:H60" si="8">$C$20*C13</f>
        <v>0</v>
      </c>
      <c r="D60" s="354">
        <f t="shared" si="8"/>
        <v>160</v>
      </c>
      <c r="E60" s="299">
        <f t="shared" si="8"/>
        <v>0</v>
      </c>
      <c r="F60" s="354">
        <f t="shared" si="8"/>
        <v>0</v>
      </c>
      <c r="G60" s="299">
        <f t="shared" si="8"/>
        <v>80</v>
      </c>
      <c r="H60" s="298">
        <f t="shared" si="8"/>
        <v>0</v>
      </c>
      <c r="I60" s="414"/>
    </row>
    <row r="61" spans="1:9" s="405" customFormat="1" ht="18" customHeight="1" x14ac:dyDescent="0.25">
      <c r="A61" s="407" t="s">
        <v>220</v>
      </c>
      <c r="B61" s="428" t="s">
        <v>201</v>
      </c>
      <c r="C61" s="303">
        <f>((C20*'Forage Insurance'!$C$26)/2000)/C41</f>
        <v>0.50100200400801598</v>
      </c>
      <c r="D61" s="355">
        <f>((D20*'Forage Insurance'!$C$26)/2000)/D41</f>
        <v>0.57515337423312884</v>
      </c>
      <c r="E61" s="302">
        <f>((E20*'Forage Insurance'!$C$26)/2000)/E41</f>
        <v>0.45158959537572252</v>
      </c>
      <c r="F61" s="355">
        <f>((F20*'Forage Insurance'!$C$26)/2000)/F41</f>
        <v>0.65789473684210531</v>
      </c>
      <c r="G61" s="302">
        <f>((G20*'Forage Insurance'!$C$26)/2000)/G41</f>
        <v>0.62630480167014613</v>
      </c>
      <c r="H61" s="301">
        <f>((H20*'Forage Insurance'!$C$26)/2000)/H41</f>
        <v>0.51136363636363635</v>
      </c>
      <c r="I61" s="414"/>
    </row>
    <row r="62" spans="1:9" s="405" customFormat="1" ht="18" customHeight="1" x14ac:dyDescent="0.25">
      <c r="A62" s="407" t="s">
        <v>221</v>
      </c>
      <c r="B62" s="428" t="s">
        <v>230</v>
      </c>
      <c r="C62" s="296">
        <f t="shared" ref="C62:H62" si="9">IF(C51-C20&lt;0,0,C51-C20)</f>
        <v>0.59733333333333327</v>
      </c>
      <c r="D62" s="333">
        <f t="shared" si="9"/>
        <v>0.39066666666666672</v>
      </c>
      <c r="E62" s="293">
        <f t="shared" si="9"/>
        <v>0.96466666666666656</v>
      </c>
      <c r="F62" s="333">
        <f t="shared" si="9"/>
        <v>0.32400000000000007</v>
      </c>
      <c r="G62" s="293">
        <f t="shared" si="9"/>
        <v>0.55466666666666686</v>
      </c>
      <c r="H62" s="288">
        <f t="shared" si="9"/>
        <v>0.84666666666666668</v>
      </c>
      <c r="I62" s="414"/>
    </row>
    <row r="63" spans="1:9" s="405" customFormat="1" ht="18" customHeight="1" x14ac:dyDescent="0.25">
      <c r="A63" s="407" t="s">
        <v>222</v>
      </c>
      <c r="B63" s="428" t="s">
        <v>231</v>
      </c>
      <c r="C63" s="279">
        <f>IF(C49-($C$20*'Forage Insurance'!$C$26)/2000&lt;0,0,C49-($C$20*'Forage Insurance'!$C$26)/2000)</f>
        <v>0.44799999999999995</v>
      </c>
      <c r="D63" s="246">
        <f>IF(D49-($D$20*'Forage Insurance'!$C$26)/2000&lt;0,0,D49-($D$20*'Forage Insurance'!$C$26)/2000)</f>
        <v>0.29299999999999993</v>
      </c>
      <c r="E63" s="260">
        <f>IF(E49-($E$20*'Forage Insurance'!$C$26)/2000&lt;0,0,E49-($E$20*'Forage Insurance'!$C$26)/2000)</f>
        <v>0.72350000000000003</v>
      </c>
      <c r="F63" s="246">
        <f>IF(F49-($F$20*'Forage Insurance'!$C$26)/2000&lt;0,0,F49-($F$20*'Forage Insurance'!$C$26)/2000)</f>
        <v>0.2430000000000001</v>
      </c>
      <c r="G63" s="289">
        <f>IF(G49-($G$20*'Forage Insurance'!$C$26)/2000&lt;0,0,G49-($G$20*'Forage Insurance'!$C$26)/2000)</f>
        <v>0.41599999999999993</v>
      </c>
      <c r="H63" s="259">
        <f>IF(H49-($H$20*'Forage Insurance'!$C$26)/2000&lt;0,0,H49-($H$20*'Forage Insurance'!$C$26)/2000)</f>
        <v>0.63500000000000001</v>
      </c>
      <c r="I63" s="414"/>
    </row>
    <row r="64" spans="1:9" s="405" customFormat="1" ht="18" customHeight="1" x14ac:dyDescent="0.25">
      <c r="A64" s="407" t="s">
        <v>223</v>
      </c>
      <c r="B64" s="428" t="s">
        <v>209</v>
      </c>
      <c r="C64" s="307">
        <f t="shared" ref="C64:H64" si="10">IF(C49=0,0,C63/C49)</f>
        <v>0.37395659432387307</v>
      </c>
      <c r="D64" s="306">
        <f t="shared" si="10"/>
        <v>0.28092042186001914</v>
      </c>
      <c r="E64" s="305">
        <f t="shared" si="10"/>
        <v>0.43558097531607465</v>
      </c>
      <c r="F64" s="306">
        <f t="shared" si="10"/>
        <v>0.17763157894736847</v>
      </c>
      <c r="G64" s="305">
        <f t="shared" si="10"/>
        <v>0.21711899791231729</v>
      </c>
      <c r="H64" s="304">
        <f t="shared" si="10"/>
        <v>0.36079545454545453</v>
      </c>
      <c r="I64" s="414"/>
    </row>
    <row r="65" spans="1:9" s="405" customFormat="1" ht="18" customHeight="1" x14ac:dyDescent="0.25">
      <c r="A65" s="407" t="s">
        <v>224</v>
      </c>
      <c r="B65" s="443" t="s">
        <v>232</v>
      </c>
      <c r="C65" s="284">
        <f t="shared" ref="C65:H65" si="11">C63*C50</f>
        <v>45.112536400830983</v>
      </c>
      <c r="D65" s="175">
        <f t="shared" si="11"/>
        <v>48.642396422059122</v>
      </c>
      <c r="E65" s="268">
        <f t="shared" si="11"/>
        <v>120.11185601146684</v>
      </c>
      <c r="F65" s="175">
        <f t="shared" si="11"/>
        <v>48.939046184830062</v>
      </c>
      <c r="G65" s="175">
        <f t="shared" si="11"/>
        <v>83.780424744400378</v>
      </c>
      <c r="H65" s="267">
        <f t="shared" si="11"/>
        <v>84.131150000000005</v>
      </c>
      <c r="I65" s="414"/>
    </row>
    <row r="66" spans="1:9" s="421" customFormat="1" ht="38.25" customHeight="1" x14ac:dyDescent="0.2">
      <c r="A66" s="419" t="s">
        <v>225</v>
      </c>
      <c r="B66" s="420" t="s">
        <v>286</v>
      </c>
      <c r="C66" s="378">
        <f t="shared" ref="C66:H66" si="12">SUM(C63*C50*C13)</f>
        <v>0</v>
      </c>
      <c r="D66" s="379">
        <f t="shared" si="12"/>
        <v>7782.783427529459</v>
      </c>
      <c r="E66" s="380">
        <f t="shared" si="12"/>
        <v>0</v>
      </c>
      <c r="F66" s="379">
        <f t="shared" si="12"/>
        <v>0</v>
      </c>
      <c r="G66" s="379">
        <f t="shared" si="12"/>
        <v>6702.43397955203</v>
      </c>
      <c r="H66" s="381">
        <f t="shared" si="12"/>
        <v>0</v>
      </c>
      <c r="I66" s="378">
        <f>SUM(C66:H66)</f>
        <v>14485.217407081489</v>
      </c>
    </row>
    <row r="67" spans="1:9" s="392" customFormat="1" ht="7.5" customHeight="1" thickBot="1" x14ac:dyDescent="0.25">
      <c r="A67" s="430"/>
      <c r="B67" s="431"/>
      <c r="C67" s="432"/>
      <c r="D67" s="433"/>
      <c r="E67" s="434"/>
      <c r="F67" s="433"/>
      <c r="G67" s="433"/>
      <c r="H67" s="435"/>
      <c r="I67" s="436"/>
    </row>
    <row r="68" spans="1:9" s="405" customFormat="1" ht="18" customHeight="1" thickBot="1" x14ac:dyDescent="0.3">
      <c r="A68" s="529" t="s">
        <v>202</v>
      </c>
      <c r="B68" s="437"/>
      <c r="C68" s="387"/>
      <c r="D68" s="600" t="s">
        <v>206</v>
      </c>
      <c r="E68" s="600"/>
      <c r="F68" s="600"/>
      <c r="G68" s="600"/>
      <c r="H68" s="600"/>
      <c r="I68" s="406"/>
    </row>
    <row r="69" spans="1:9" s="405" customFormat="1" ht="18" customHeight="1" thickBot="1" x14ac:dyDescent="0.3">
      <c r="A69" s="407" t="s">
        <v>226</v>
      </c>
      <c r="B69" s="428" t="s">
        <v>203</v>
      </c>
      <c r="C69" s="339" t="s">
        <v>204</v>
      </c>
      <c r="D69" s="601"/>
      <c r="E69" s="601"/>
      <c r="F69" s="601"/>
      <c r="G69" s="601"/>
      <c r="H69" s="601"/>
      <c r="I69" s="414"/>
    </row>
    <row r="70" spans="1:9" s="405" customFormat="1" ht="18" customHeight="1" x14ac:dyDescent="0.25">
      <c r="A70" s="407" t="s">
        <v>227</v>
      </c>
      <c r="B70" s="417" t="str">
        <f>"Est. HDB ($/acre) = S x $"&amp;ROUND('DATA (HIDE)'!$C$11,2)&amp;"/ton"</f>
        <v>Est. HDB ($/acre) = S x $39.92/ton</v>
      </c>
      <c r="C70" s="337">
        <f>IF($C$69="Yes",C63*'DATA (HIDE)'!$C$11,0)</f>
        <v>17.882446861590658</v>
      </c>
      <c r="D70" s="175">
        <f>IF($C$69="Yes",D63*'DATA (HIDE)'!$C$11,0)</f>
        <v>11.695439576888532</v>
      </c>
      <c r="E70" s="268">
        <f>IF($C$69="Yes",E63*'DATA (HIDE)'!$C$11,0)</f>
        <v>28.879353357948311</v>
      </c>
      <c r="F70" s="175">
        <f>IF($C$69="Yes",F63*'DATA (HIDE)'!$C$11,0)</f>
        <v>9.6996307753717232</v>
      </c>
      <c r="G70" s="73">
        <f>IF($C$69="Yes",G63*'DATA (HIDE)'!$C$11,0)</f>
        <v>16.605129228619894</v>
      </c>
      <c r="H70" s="350" t="s">
        <v>207</v>
      </c>
      <c r="I70" s="414"/>
    </row>
    <row r="71" spans="1:9" s="405" customFormat="1" ht="18" customHeight="1" x14ac:dyDescent="0.25">
      <c r="A71" s="407" t="s">
        <v>228</v>
      </c>
      <c r="B71" s="428" t="s">
        <v>229</v>
      </c>
      <c r="C71" s="311">
        <f>IF($C$69="Yes",C63*'DATA (HIDE)'!$C$11*C13,0)</f>
        <v>0</v>
      </c>
      <c r="D71" s="309">
        <f>IF($C$69="Yes",D63*'DATA (HIDE)'!$C$11*D13,0)</f>
        <v>1871.2703323021651</v>
      </c>
      <c r="E71" s="308">
        <f>IF($C$69="Yes",E63*'DATA (HIDE)'!$C$11*E13,0)</f>
        <v>0</v>
      </c>
      <c r="F71" s="309">
        <f>IF($C$69="Yes",F63*'DATA (HIDE)'!$C$11*F13,0)</f>
        <v>0</v>
      </c>
      <c r="G71" s="310">
        <f>IF($C$69="Yes",G63*'DATA (HIDE)'!$C$11*G13,0)</f>
        <v>1328.4103382895914</v>
      </c>
      <c r="H71" s="350" t="s">
        <v>207</v>
      </c>
      <c r="I71" s="531">
        <f>SUM(C71:H71)</f>
        <v>3199.6806705917566</v>
      </c>
    </row>
    <row r="72" spans="1:9" s="392" customFormat="1" ht="7.5" customHeight="1" x14ac:dyDescent="0.2">
      <c r="A72" s="407"/>
      <c r="B72" s="428"/>
      <c r="C72" s="444"/>
      <c r="D72" s="445"/>
      <c r="E72" s="446"/>
      <c r="F72" s="445"/>
      <c r="G72" s="445"/>
      <c r="H72" s="426"/>
      <c r="I72" s="427"/>
    </row>
    <row r="73" spans="1:9" s="405" customFormat="1" ht="18" customHeight="1" x14ac:dyDescent="0.25">
      <c r="A73" s="375" t="s">
        <v>208</v>
      </c>
      <c r="B73" s="428"/>
      <c r="C73" s="279"/>
      <c r="D73" s="246"/>
      <c r="E73" s="260"/>
      <c r="F73" s="246"/>
      <c r="G73" s="246"/>
      <c r="H73" s="259"/>
      <c r="I73" s="414"/>
    </row>
    <row r="74" spans="1:9" s="405" customFormat="1" ht="18" customHeight="1" x14ac:dyDescent="0.25">
      <c r="A74" s="407" t="s">
        <v>234</v>
      </c>
      <c r="B74" s="417" t="s">
        <v>233</v>
      </c>
      <c r="C74" s="284">
        <f t="shared" ref="C74:G74" si="13">C70+C65</f>
        <v>62.994983262421641</v>
      </c>
      <c r="D74" s="175">
        <f t="shared" si="13"/>
        <v>60.337835998947654</v>
      </c>
      <c r="E74" s="268">
        <f t="shared" si="13"/>
        <v>148.99120936941515</v>
      </c>
      <c r="F74" s="175">
        <f t="shared" si="13"/>
        <v>58.638676960201785</v>
      </c>
      <c r="G74" s="268">
        <f t="shared" si="13"/>
        <v>100.38555397302028</v>
      </c>
      <c r="H74" s="73">
        <f>H65</f>
        <v>84.131150000000005</v>
      </c>
      <c r="I74" s="414"/>
    </row>
    <row r="75" spans="1:9" s="421" customFormat="1" ht="24" customHeight="1" x14ac:dyDescent="0.2">
      <c r="A75" s="419" t="s">
        <v>235</v>
      </c>
      <c r="B75" s="420" t="s">
        <v>287</v>
      </c>
      <c r="C75" s="378">
        <f t="shared" ref="C75:G75" si="14">C71+C66</f>
        <v>0</v>
      </c>
      <c r="D75" s="379">
        <f t="shared" si="14"/>
        <v>9654.0537598316241</v>
      </c>
      <c r="E75" s="380">
        <f t="shared" si="14"/>
        <v>0</v>
      </c>
      <c r="F75" s="379">
        <f t="shared" si="14"/>
        <v>0</v>
      </c>
      <c r="G75" s="380">
        <f t="shared" si="14"/>
        <v>8030.8443178416219</v>
      </c>
      <c r="H75" s="382">
        <f>H66</f>
        <v>0</v>
      </c>
      <c r="I75" s="378">
        <f>SUM(C75:H75)</f>
        <v>17684.898077673246</v>
      </c>
    </row>
    <row r="76" spans="1:9" s="392" customFormat="1" ht="7.5" customHeight="1" thickBot="1" x14ac:dyDescent="0.25">
      <c r="A76" s="430"/>
      <c r="B76" s="431"/>
      <c r="C76" s="432"/>
      <c r="D76" s="433"/>
      <c r="E76" s="434"/>
      <c r="F76" s="433"/>
      <c r="G76" s="433"/>
      <c r="H76" s="435"/>
      <c r="I76" s="436"/>
    </row>
    <row r="77" spans="1:9" s="405" customFormat="1" ht="18" x14ac:dyDescent="0.25">
      <c r="A77" s="530" t="s">
        <v>198</v>
      </c>
      <c r="B77" s="428"/>
      <c r="C77" s="279"/>
      <c r="D77" s="246"/>
      <c r="E77" s="260"/>
      <c r="F77" s="246"/>
      <c r="G77" s="246"/>
      <c r="H77" s="259"/>
      <c r="I77" s="414"/>
    </row>
    <row r="78" spans="1:9" s="405" customFormat="1" ht="18" x14ac:dyDescent="0.25">
      <c r="A78" s="407"/>
      <c r="B78" s="447" t="s">
        <v>199</v>
      </c>
      <c r="C78" s="279">
        <f t="shared" ref="C78:H78" si="15">C49-(C44/C50)</f>
        <v>1.1139861027027027</v>
      </c>
      <c r="D78" s="246">
        <f>D49-(D44/D50)</f>
        <v>0.93590124699453547</v>
      </c>
      <c r="E78" s="260">
        <f t="shared" si="15"/>
        <v>1.5539012469945355</v>
      </c>
      <c r="F78" s="246">
        <f>F49-(F44/F50)</f>
        <v>1.2257920792792794</v>
      </c>
      <c r="G78" s="246">
        <f t="shared" si="15"/>
        <v>1.7737920792792792</v>
      </c>
      <c r="H78" s="259">
        <f t="shared" si="15"/>
        <v>1.6136493320250584</v>
      </c>
      <c r="I78" s="414"/>
    </row>
    <row r="79" spans="1:9" s="405" customFormat="1" ht="18" x14ac:dyDescent="0.25">
      <c r="A79" s="407"/>
      <c r="B79" s="447" t="s">
        <v>200</v>
      </c>
      <c r="C79" s="279">
        <f t="shared" ref="C79:H79" si="16">C51-(C44/C53)</f>
        <v>1.4853148036036035</v>
      </c>
      <c r="D79" s="246">
        <f>D51-(D44/D53)</f>
        <v>1.2478683293260473</v>
      </c>
      <c r="E79" s="260">
        <f t="shared" si="16"/>
        <v>2.0718683293260471</v>
      </c>
      <c r="F79" s="246">
        <f>F51-(F44/F53)</f>
        <v>1.634389439039039</v>
      </c>
      <c r="G79" s="246">
        <f t="shared" si="16"/>
        <v>2.365056105705706</v>
      </c>
      <c r="H79" s="259">
        <f t="shared" si="16"/>
        <v>2.1515324427000779</v>
      </c>
      <c r="I79" s="414"/>
    </row>
    <row r="80" spans="1:9" s="405" customFormat="1" ht="7.5" customHeight="1" x14ac:dyDescent="0.25">
      <c r="A80" s="448"/>
      <c r="B80" s="373"/>
      <c r="C80" s="278"/>
      <c r="D80" s="245"/>
      <c r="E80" s="258"/>
      <c r="F80" s="245"/>
      <c r="G80" s="245"/>
      <c r="H80" s="257"/>
      <c r="I80" s="414"/>
    </row>
    <row r="81" spans="1:9" s="405" customFormat="1" ht="18" x14ac:dyDescent="0.25">
      <c r="A81" s="530" t="s">
        <v>299</v>
      </c>
      <c r="B81" s="373"/>
      <c r="C81" s="278"/>
      <c r="D81" s="245"/>
      <c r="E81" s="258"/>
      <c r="F81" s="245"/>
      <c r="G81" s="245"/>
      <c r="H81" s="257"/>
      <c r="I81" s="414"/>
    </row>
    <row r="82" spans="1:9" s="405" customFormat="1" ht="18" x14ac:dyDescent="0.25">
      <c r="A82" s="407"/>
      <c r="B82" s="372" t="s">
        <v>17</v>
      </c>
      <c r="C82" s="282">
        <f>IF($C$11=$Q$174,HLOOKUP($C$24,'DATA (HIDE)'!$A$111:$G$124,9,FALSE),HLOOKUP($C$24,'DATA (HIDE)'!$I$111:$O$124,9,FALSE))</f>
        <v>98.407917721087074</v>
      </c>
      <c r="D82" s="247">
        <f>IF($D$11=$Q$177,HLOOKUP($C$24,'DATA (HIDE)'!$I$93:$O$106,9,FALSE),HLOOKUP($C$24,'DATA (HIDE)'!$A$93:$G$106,9,FALSE))</f>
        <v>45.890023480809845</v>
      </c>
      <c r="E82" s="262">
        <f>IF($E$11=$Q$177,HLOOKUP($C$24,'DATA (HIDE)'!$I$76:$O$89,9,FALSE),HLOOKUP($C$24,'DATA (HIDE)'!$A$76:$G$89,9,FALSE))</f>
        <v>0</v>
      </c>
      <c r="F82" s="247">
        <f>IF($F$11=$Q$177,HLOOKUP($C$24,'DATA (HIDE)'!$I$59:$O$72,9,FALSE),HLOOKUP($C$24,'DATA (HIDE)'!$A$59:$G$72,9,FALSE))</f>
        <v>19.573378407498751</v>
      </c>
      <c r="G82" s="247">
        <f>IF($G$11=$Q$177,HLOOKUP($C$24,'DATA (HIDE)'!$I$42:$O$55,9,FALSE),HLOOKUP($C$24,'DATA (HIDE)'!$A$42:$G$55,9,FALSE))</f>
        <v>0</v>
      </c>
      <c r="H82" s="261">
        <f>HLOOKUP($C$25,'DATA (HIDE)'!$A$128:$P$140,8,FALSE)</f>
        <v>36.630920394794259</v>
      </c>
      <c r="I82" s="414"/>
    </row>
    <row r="83" spans="1:9" s="405" customFormat="1" ht="16.5" customHeight="1" x14ac:dyDescent="0.25">
      <c r="A83" s="407"/>
      <c r="B83" s="372" t="s">
        <v>121</v>
      </c>
      <c r="C83" s="282">
        <f>IF($C$11=$Q$174,HLOOKUP($C$24,'DATA (HIDE)'!$A$111:$G$124,10,FALSE),HLOOKUP($C$24,'DATA (HIDE)'!$I$111:$O$124,10,FALSE))</f>
        <v>206.60294158309293</v>
      </c>
      <c r="D83" s="247">
        <f>IF($D$11=$Q$177,HLOOKUP($C$24,'DATA (HIDE)'!$I$93:$O$106,10,FALSE),HLOOKUP($C$24,'DATA (HIDE)'!$A$93:$G$106,10,FALSE))</f>
        <v>154.0850473428157</v>
      </c>
      <c r="E83" s="262">
        <f>IF($E$11=$Q$177,HLOOKUP($C$24,'DATA (HIDE)'!$I$76:$O$89,10,FALSE),HLOOKUP($C$24,'DATA (HIDE)'!$A$76:$G$89,10,FALSE))</f>
        <v>51.487774343387173</v>
      </c>
      <c r="F83" s="247">
        <f>IF($F$11=$Q$177,HLOOKUP($C$24,'DATA (HIDE)'!$I$59:$O$72,10,FALSE),HLOOKUP($C$24,'DATA (HIDE)'!$A$59:$G$72,10,FALSE))</f>
        <v>127.76840226950458</v>
      </c>
      <c r="G83" s="247">
        <f>IF($G$11=$Q$177,HLOOKUP($C$24,'DATA (HIDE)'!$I$42:$O$55,10,FALSE),HLOOKUP($C$24,'DATA (HIDE)'!$A$42:$G$55,10,FALSE))</f>
        <v>17.40380428890029</v>
      </c>
      <c r="H83" s="261">
        <f>HLOOKUP($C$25,'DATA (HIDE)'!$A$128:$P$140,9,FALSE)</f>
        <v>144.82594425680008</v>
      </c>
      <c r="I83" s="414"/>
    </row>
    <row r="84" spans="1:9" s="405" customFormat="1" ht="18" x14ac:dyDescent="0.25">
      <c r="A84" s="407"/>
      <c r="B84" s="373" t="s">
        <v>16</v>
      </c>
      <c r="C84" s="284">
        <f>IF($C$11=$Q$174,HLOOKUP($C$24,'DATA (HIDE)'!$A$111:$G$124,11,FALSE),HLOOKUP($C$24,'DATA (HIDE)'!$I$111:$O$124,11,FALSE))</f>
        <v>236.60294158309293</v>
      </c>
      <c r="D84" s="175">
        <f>IF($D$11=$Q$177,HLOOKUP($C$24,'DATA (HIDE)'!$I$93:$O$106,11,FALSE),HLOOKUP($C$24,'DATA (HIDE)'!$A$93:$G$106,11,FALSE))</f>
        <v>184.0850473428157</v>
      </c>
      <c r="E84" s="268">
        <f>IF($E$11=$Q$177,HLOOKUP($C$24,'DATA (HIDE)'!$I$76:$O$89,11,FALSE),HLOOKUP($C$24,'DATA (HIDE)'!$A$76:$G$89,11,FALSE))</f>
        <v>81.487774343387173</v>
      </c>
      <c r="F84" s="175">
        <f>IF($F$11=$Q$177,HLOOKUP($C$24,'DATA (HIDE)'!$I$59:$O$72,11,FALSE),HLOOKUP($C$24,'DATA (HIDE)'!$A$59:$G$72,11,FALSE))</f>
        <v>157.76840226950458</v>
      </c>
      <c r="G84" s="175">
        <f>IF($G$11=$Q$177,HLOOKUP($C$24,'DATA (HIDE)'!$I$42:$O$55,11,FALSE),HLOOKUP($C$24,'DATA (HIDE)'!$A$42:$G$55,11,FALSE))</f>
        <v>47.40380428890029</v>
      </c>
      <c r="H84" s="267">
        <f>HLOOKUP($C$25,'DATA (HIDE)'!$A$128:$P$140,10,FALSE)</f>
        <v>182.32594425680008</v>
      </c>
      <c r="I84" s="414"/>
    </row>
    <row r="85" spans="1:9" s="450" customFormat="1" ht="7.5" customHeight="1" x14ac:dyDescent="0.25">
      <c r="A85" s="374"/>
      <c r="B85" s="373"/>
      <c r="C85" s="338"/>
      <c r="D85" s="252"/>
      <c r="E85" s="275"/>
      <c r="F85" s="292"/>
      <c r="G85" s="252"/>
      <c r="H85" s="269"/>
      <c r="I85" s="449"/>
    </row>
    <row r="86" spans="1:9" s="450" customFormat="1" ht="18" customHeight="1" x14ac:dyDescent="0.25">
      <c r="A86" s="530" t="s">
        <v>291</v>
      </c>
      <c r="B86" s="373"/>
      <c r="C86" s="338"/>
      <c r="D86" s="252"/>
      <c r="E86" s="275"/>
      <c r="F86" s="292"/>
      <c r="G86" s="451"/>
      <c r="H86" s="269"/>
      <c r="I86" s="449"/>
    </row>
    <row r="87" spans="1:9" s="454" customFormat="1" ht="18" x14ac:dyDescent="0.25">
      <c r="A87" s="452"/>
      <c r="B87" s="372" t="s">
        <v>17</v>
      </c>
      <c r="C87" s="285">
        <f>IF($C$11=$Q$174,HLOOKUP($C$24,'DATA (HIDE)'!$A$111:$G$124,13,FALSE),HLOOKUP($C$24,'DATA (HIDE)'!$I$111:$O$124,13,FALSE))</f>
        <v>0.55073837043830276</v>
      </c>
      <c r="D87" s="251">
        <f>IF($D$11=$Q$177,HLOOKUP($C$24,'DATA (HIDE)'!$I$93:$O$106,13,FALSE),HLOOKUP($C$24,'DATA (HIDE)'!$A$93:$G$106,13,FALSE))</f>
        <v>0.79049829315517162</v>
      </c>
      <c r="E87" s="271">
        <f>IF($E$11=$Q$177,HLOOKUP($C$24,'DATA (HIDE)'!$I$76:$O$89,13,FALSE),HLOOKUP($C$24,'DATA (HIDE)'!$A$76:$G$89,13,FALSE))</f>
        <v>1.2588855847849858</v>
      </c>
      <c r="F87" s="251">
        <f>IF($F$11=$Q$177,HLOOKUP($C$24,'DATA (HIDE)'!$I$59:$O$72,13,FALSE),HLOOKUP($C$24,'DATA (HIDE)'!$A$59:$G$72,13,FALSE))</f>
        <v>0.93366802139224325</v>
      </c>
      <c r="G87" s="251">
        <f>IF($G$11=$Q$177,HLOOKUP($C$24,'DATA (HIDE)'!$I$42:$O$55,13,FALSE),HLOOKUP($C$24,'DATA (HIDE)'!$A$42:$G$55,13,FALSE))</f>
        <v>1.3076812346400128</v>
      </c>
      <c r="H87" s="270">
        <f>HLOOKUP($C$25,'DATA (HIDE)'!$A$128:$P$140,12,FALSE)</f>
        <v>0.86423605646602086</v>
      </c>
      <c r="I87" s="453"/>
    </row>
    <row r="88" spans="1:9" s="454" customFormat="1" ht="18.75" thickBot="1" x14ac:dyDescent="0.3">
      <c r="A88" s="376"/>
      <c r="B88" s="377" t="s">
        <v>16</v>
      </c>
      <c r="C88" s="286">
        <f>IF($C$11=$Q$174,HLOOKUP($C$24,'DATA (HIDE)'!$A$111:$G$124,14,FALSE),HLOOKUP($C$24,'DATA (HIDE)'!$I$111:$O$124,14,FALSE))</f>
        <v>0.33768949640165929</v>
      </c>
      <c r="D88" s="276">
        <f>IF($D$11=$Q$177,HLOOKUP($C$24,'DATA (HIDE)'!$I$93:$O$106,14,FALSE),HLOOKUP($C$24,'DATA (HIDE)'!$A$93:$G$106,14,FALSE))</f>
        <v>0.48470014956374968</v>
      </c>
      <c r="E88" s="273">
        <f>IF($E$11=$Q$177,HLOOKUP($C$24,'DATA (HIDE)'!$I$76:$O$89,14,FALSE),HLOOKUP($C$24,'DATA (HIDE)'!$A$76:$G$89,14,FALSE))</f>
        <v>0.77189544431964374</v>
      </c>
      <c r="F88" s="276">
        <f>IF($F$11=$Q$177,HLOOKUP($C$24,'DATA (HIDE)'!$I$59:$O$72,14,FALSE),HLOOKUP($C$24,'DATA (HIDE)'!$A$59:$G$72,14,FALSE))</f>
        <v>0.63587182469718195</v>
      </c>
      <c r="G88" s="276">
        <f>IF($G$11=$Q$177,HLOOKUP($C$24,'DATA (HIDE)'!$I$42:$O$55,14,FALSE),HLOOKUP($C$24,'DATA (HIDE)'!$A$42:$G$55,14,FALSE))</f>
        <v>0.89059240944429852</v>
      </c>
      <c r="H88" s="272">
        <f>HLOOKUP($C$25,'DATA (HIDE)'!$A$128:$P$140,13,FALSE)</f>
        <v>0.56119787538101606</v>
      </c>
      <c r="I88" s="455"/>
    </row>
    <row r="89" spans="1:9" s="454" customFormat="1" ht="18" x14ac:dyDescent="0.25">
      <c r="A89" s="21"/>
      <c r="B89" s="14"/>
      <c r="C89" s="290"/>
      <c r="D89" s="290"/>
      <c r="E89" s="290"/>
      <c r="F89" s="290"/>
      <c r="G89" s="290"/>
      <c r="H89" s="290"/>
      <c r="I89" s="456"/>
    </row>
    <row r="90" spans="1:9" s="454" customFormat="1" ht="18" x14ac:dyDescent="0.25">
      <c r="A90" s="21"/>
      <c r="B90" s="14"/>
      <c r="C90" s="290"/>
      <c r="D90" s="290"/>
      <c r="E90" s="290"/>
      <c r="F90" s="290"/>
      <c r="G90" s="290"/>
      <c r="H90" s="290"/>
      <c r="I90" s="456"/>
    </row>
    <row r="91" spans="1:9" s="454" customFormat="1" ht="18" x14ac:dyDescent="0.25">
      <c r="A91" s="21"/>
      <c r="B91" s="14"/>
      <c r="C91" s="290"/>
      <c r="D91" s="290"/>
      <c r="E91" s="290"/>
      <c r="F91" s="290"/>
      <c r="G91" s="290"/>
      <c r="H91" s="290"/>
      <c r="I91" s="456"/>
    </row>
    <row r="92" spans="1:9" s="454" customFormat="1" ht="18" x14ac:dyDescent="0.25">
      <c r="A92" s="21"/>
      <c r="B92" s="14"/>
      <c r="C92" s="290"/>
      <c r="D92" s="290"/>
      <c r="E92" s="290"/>
      <c r="F92" s="290"/>
      <c r="G92" s="290"/>
      <c r="H92" s="290"/>
      <c r="I92" s="456"/>
    </row>
    <row r="93" spans="1:9" s="454" customFormat="1" ht="18" x14ac:dyDescent="0.25">
      <c r="A93" s="21"/>
      <c r="B93" s="14"/>
      <c r="C93" s="290"/>
      <c r="D93" s="290"/>
      <c r="E93" s="290"/>
      <c r="F93" s="290"/>
      <c r="G93" s="290"/>
      <c r="H93" s="290"/>
      <c r="I93" s="456"/>
    </row>
    <row r="94" spans="1:9" s="454" customFormat="1" ht="18" x14ac:dyDescent="0.25">
      <c r="A94" s="21"/>
      <c r="B94" s="14"/>
      <c r="C94" s="290"/>
      <c r="D94" s="290"/>
      <c r="E94" s="290"/>
      <c r="F94" s="290"/>
      <c r="G94" s="290"/>
      <c r="H94" s="290"/>
      <c r="I94" s="456"/>
    </row>
    <row r="95" spans="1:9" s="454" customFormat="1" ht="18" x14ac:dyDescent="0.25">
      <c r="A95" s="21"/>
      <c r="B95" s="14"/>
      <c r="C95" s="290"/>
      <c r="D95" s="290"/>
      <c r="E95" s="290"/>
      <c r="F95" s="290"/>
      <c r="G95" s="290"/>
      <c r="H95" s="290"/>
      <c r="I95" s="456"/>
    </row>
    <row r="96" spans="1:9" s="454" customFormat="1" ht="18" x14ac:dyDescent="0.25">
      <c r="A96" s="21"/>
      <c r="B96" s="14"/>
      <c r="C96" s="290"/>
      <c r="D96" s="290"/>
      <c r="E96" s="290"/>
      <c r="F96" s="290"/>
      <c r="G96" s="290"/>
      <c r="H96" s="290"/>
      <c r="I96" s="456"/>
    </row>
    <row r="97" spans="1:10" s="454" customFormat="1" ht="18" x14ac:dyDescent="0.25">
      <c r="A97" s="21"/>
      <c r="B97" s="14"/>
      <c r="C97" s="290"/>
      <c r="D97" s="290"/>
      <c r="E97" s="290"/>
      <c r="F97" s="290"/>
      <c r="G97" s="290"/>
      <c r="H97" s="290"/>
      <c r="I97" s="456"/>
    </row>
    <row r="98" spans="1:10" s="454" customFormat="1" ht="18" x14ac:dyDescent="0.25">
      <c r="A98" s="21"/>
      <c r="B98" s="14"/>
      <c r="C98" s="290"/>
      <c r="D98" s="290"/>
      <c r="E98" s="290"/>
      <c r="F98" s="290"/>
      <c r="G98" s="290"/>
      <c r="H98" s="290"/>
      <c r="I98" s="456"/>
    </row>
    <row r="99" spans="1:10" s="454" customFormat="1" ht="18" x14ac:dyDescent="0.25">
      <c r="A99" s="21"/>
      <c r="B99" s="14"/>
      <c r="C99" s="290"/>
      <c r="D99" s="290"/>
      <c r="E99" s="290"/>
      <c r="F99" s="290"/>
      <c r="G99" s="290"/>
      <c r="H99" s="290"/>
      <c r="I99" s="456"/>
    </row>
    <row r="100" spans="1:10" s="454" customFormat="1" ht="18" x14ac:dyDescent="0.25">
      <c r="A100" s="21"/>
      <c r="B100" s="14"/>
      <c r="C100" s="290"/>
      <c r="D100" s="290"/>
      <c r="E100" s="290"/>
      <c r="F100" s="290"/>
      <c r="G100" s="290"/>
      <c r="H100" s="290"/>
      <c r="I100" s="456"/>
    </row>
    <row r="101" spans="1:10" s="454" customFormat="1" ht="18" x14ac:dyDescent="0.25">
      <c r="A101" s="21"/>
      <c r="B101" s="14"/>
      <c r="C101" s="290"/>
      <c r="D101" s="290"/>
      <c r="E101" s="290"/>
      <c r="F101" s="290"/>
      <c r="G101" s="290"/>
      <c r="H101" s="290"/>
      <c r="I101" s="456"/>
    </row>
    <row r="102" spans="1:10" s="454" customFormat="1" ht="18" x14ac:dyDescent="0.25">
      <c r="A102" s="21"/>
      <c r="B102" s="14"/>
      <c r="C102" s="290"/>
      <c r="D102" s="290"/>
      <c r="E102" s="290"/>
      <c r="F102" s="290"/>
      <c r="G102" s="290"/>
      <c r="H102" s="290"/>
      <c r="I102" s="456"/>
    </row>
    <row r="103" spans="1:10" s="454" customFormat="1" ht="18" x14ac:dyDescent="0.25">
      <c r="A103" s="21"/>
      <c r="B103" s="14"/>
      <c r="C103" s="290"/>
      <c r="D103" s="290"/>
      <c r="E103" s="290"/>
      <c r="F103" s="290"/>
      <c r="G103" s="290"/>
      <c r="H103" s="290"/>
      <c r="I103" s="456"/>
    </row>
    <row r="104" spans="1:10" s="454" customFormat="1" ht="18" x14ac:dyDescent="0.25">
      <c r="A104" s="21"/>
      <c r="B104" s="14"/>
      <c r="C104" s="290"/>
      <c r="D104" s="290"/>
      <c r="E104" s="290"/>
      <c r="F104" s="290"/>
      <c r="G104" s="290"/>
      <c r="H104" s="290"/>
      <c r="I104" s="456"/>
    </row>
    <row r="105" spans="1:10" s="454" customFormat="1" ht="18" x14ac:dyDescent="0.25">
      <c r="A105" s="21"/>
      <c r="B105" s="14"/>
      <c r="C105" s="290"/>
      <c r="D105" s="290"/>
      <c r="E105" s="290"/>
      <c r="F105" s="290"/>
      <c r="G105" s="290"/>
      <c r="H105" s="290"/>
      <c r="I105" s="456"/>
    </row>
    <row r="106" spans="1:10" s="454" customFormat="1" ht="18" x14ac:dyDescent="0.25">
      <c r="A106" s="21"/>
      <c r="B106" s="14"/>
      <c r="F106" s="290"/>
      <c r="H106" s="604" t="s">
        <v>243</v>
      </c>
      <c r="I106" s="605"/>
      <c r="J106" s="606"/>
    </row>
    <row r="107" spans="1:10" s="454" customFormat="1" ht="18" x14ac:dyDescent="0.25">
      <c r="A107" s="21"/>
      <c r="B107" s="14"/>
      <c r="C107" s="290"/>
      <c r="D107" s="290"/>
      <c r="E107" s="290"/>
      <c r="F107" s="290"/>
      <c r="G107" s="290"/>
      <c r="H107" s="290"/>
      <c r="I107" s="456"/>
    </row>
    <row r="108" spans="1:10" s="454" customFormat="1" ht="18" x14ac:dyDescent="0.25">
      <c r="A108" s="21"/>
      <c r="B108" s="14"/>
      <c r="C108" s="290"/>
      <c r="D108" s="290"/>
      <c r="E108" s="290"/>
      <c r="F108" s="290"/>
      <c r="G108" s="290"/>
      <c r="H108" s="290"/>
      <c r="I108" s="456"/>
    </row>
    <row r="109" spans="1:10" s="454" customFormat="1" ht="18" x14ac:dyDescent="0.25">
      <c r="A109" s="21"/>
      <c r="B109" s="14"/>
      <c r="C109" s="290"/>
      <c r="D109" s="290"/>
      <c r="E109" s="290"/>
      <c r="F109" s="290"/>
      <c r="G109" s="290"/>
      <c r="H109" s="290"/>
      <c r="I109" s="456"/>
    </row>
    <row r="110" spans="1:10" s="454" customFormat="1" ht="18" x14ac:dyDescent="0.25">
      <c r="A110" s="21"/>
      <c r="B110" s="14"/>
      <c r="C110" s="290"/>
      <c r="D110" s="290"/>
      <c r="E110" s="290"/>
      <c r="F110" s="290"/>
      <c r="G110" s="290"/>
      <c r="H110" s="290"/>
      <c r="I110" s="456"/>
    </row>
    <row r="111" spans="1:10" s="454" customFormat="1" ht="18" x14ac:dyDescent="0.25">
      <c r="A111" s="21"/>
      <c r="B111" s="14"/>
      <c r="C111" s="290"/>
      <c r="D111" s="290"/>
      <c r="E111" s="290"/>
      <c r="F111" s="290"/>
      <c r="G111" s="290"/>
      <c r="H111" s="290"/>
      <c r="I111" s="456"/>
    </row>
    <row r="112" spans="1:10" s="454" customFormat="1" ht="18" x14ac:dyDescent="0.25">
      <c r="A112" s="21"/>
      <c r="B112" s="14"/>
      <c r="C112" s="290"/>
      <c r="D112" s="290"/>
      <c r="E112" s="290"/>
      <c r="F112" s="290"/>
      <c r="G112" s="290"/>
      <c r="H112" s="290"/>
      <c r="I112" s="456"/>
    </row>
    <row r="113" spans="1:12" s="454" customFormat="1" ht="18" x14ac:dyDescent="0.25">
      <c r="A113" s="21"/>
      <c r="B113" s="14"/>
      <c r="C113" s="290"/>
      <c r="D113" s="290"/>
      <c r="E113" s="290"/>
      <c r="F113" s="290"/>
      <c r="G113" s="290"/>
      <c r="H113" s="290"/>
      <c r="I113" s="456"/>
    </row>
    <row r="114" spans="1:12" s="454" customFormat="1" ht="18" x14ac:dyDescent="0.25">
      <c r="A114" s="21"/>
      <c r="B114" s="14"/>
      <c r="C114" s="290"/>
      <c r="D114" s="290"/>
      <c r="E114" s="290"/>
      <c r="F114" s="290"/>
      <c r="G114" s="290"/>
      <c r="H114" s="290"/>
      <c r="I114" s="456"/>
    </row>
    <row r="115" spans="1:12" s="454" customFormat="1" ht="18" x14ac:dyDescent="0.25">
      <c r="A115" s="21"/>
      <c r="B115" s="14"/>
      <c r="C115" s="290"/>
      <c r="D115" s="290"/>
      <c r="E115" s="290"/>
      <c r="F115" s="290"/>
      <c r="G115" s="290"/>
      <c r="H115" s="290"/>
      <c r="I115" s="456"/>
    </row>
    <row r="116" spans="1:12" s="454" customFormat="1" ht="18" x14ac:dyDescent="0.25">
      <c r="A116" s="21"/>
      <c r="B116" s="14"/>
      <c r="C116" s="290"/>
      <c r="D116" s="290"/>
      <c r="E116" s="290"/>
      <c r="F116" s="290"/>
      <c r="G116" s="290"/>
      <c r="H116" s="290"/>
      <c r="I116" s="456"/>
    </row>
    <row r="117" spans="1:12" s="454" customFormat="1" ht="18" x14ac:dyDescent="0.25">
      <c r="A117" s="21"/>
      <c r="B117" s="14"/>
      <c r="C117" s="290"/>
      <c r="D117" s="290"/>
      <c r="E117" s="290"/>
      <c r="F117" s="290"/>
      <c r="G117" s="290"/>
      <c r="H117" s="290"/>
      <c r="I117" s="456"/>
    </row>
    <row r="118" spans="1:12" s="454" customFormat="1" ht="18" x14ac:dyDescent="0.25">
      <c r="A118" s="21"/>
      <c r="B118" s="14"/>
      <c r="C118" s="290"/>
      <c r="D118" s="290"/>
      <c r="E118" s="290"/>
      <c r="F118" s="290"/>
      <c r="G118" s="290"/>
      <c r="H118" s="290"/>
      <c r="I118" s="456"/>
    </row>
    <row r="119" spans="1:12" s="454" customFormat="1" ht="18" x14ac:dyDescent="0.25">
      <c r="A119" s="21"/>
      <c r="B119" s="14"/>
      <c r="C119" s="290"/>
      <c r="D119" s="290"/>
      <c r="E119" s="290"/>
      <c r="F119" s="290"/>
      <c r="G119" s="290"/>
      <c r="H119" s="290"/>
      <c r="I119" s="456"/>
    </row>
    <row r="120" spans="1:12" s="454" customFormat="1" ht="18" x14ac:dyDescent="0.25">
      <c r="A120" s="21"/>
      <c r="B120" s="14"/>
      <c r="C120" s="290"/>
      <c r="D120" s="290"/>
      <c r="E120" s="290"/>
      <c r="F120" s="290"/>
      <c r="G120" s="290"/>
      <c r="H120" s="290"/>
      <c r="I120" s="456"/>
    </row>
    <row r="121" spans="1:12" s="454" customFormat="1" ht="18" x14ac:dyDescent="0.25">
      <c r="A121" s="21"/>
      <c r="B121" s="14"/>
      <c r="C121" s="290"/>
      <c r="D121" s="290"/>
      <c r="E121" s="290"/>
      <c r="F121" s="290"/>
      <c r="G121" s="290"/>
      <c r="H121" s="290"/>
      <c r="I121" s="456"/>
    </row>
    <row r="122" spans="1:12" s="454" customFormat="1" ht="18" x14ac:dyDescent="0.25">
      <c r="A122" s="21"/>
      <c r="B122" s="14"/>
      <c r="C122" s="290"/>
      <c r="D122" s="290"/>
      <c r="E122" s="290"/>
      <c r="F122" s="290"/>
      <c r="G122" s="290"/>
      <c r="H122" s="290"/>
      <c r="I122" s="456"/>
    </row>
    <row r="123" spans="1:12" s="454" customFormat="1" ht="18" x14ac:dyDescent="0.25">
      <c r="A123" s="21"/>
      <c r="B123" s="14"/>
      <c r="C123" s="290"/>
      <c r="D123" s="290"/>
      <c r="E123" s="290"/>
      <c r="F123" s="290"/>
      <c r="G123" s="290"/>
      <c r="H123" s="290"/>
      <c r="I123" s="456"/>
    </row>
    <row r="124" spans="1:12" s="394" customFormat="1" ht="18" x14ac:dyDescent="0.25">
      <c r="A124" s="4"/>
      <c r="B124" s="4"/>
      <c r="C124" s="4"/>
      <c r="D124" s="4"/>
      <c r="E124" s="4"/>
      <c r="F124" s="4"/>
      <c r="G124" s="4"/>
      <c r="H124" s="4"/>
      <c r="I124" s="4"/>
      <c r="J124" s="4"/>
      <c r="L124" s="405"/>
    </row>
    <row r="125" spans="1:12" s="394" customFormat="1" ht="18" x14ac:dyDescent="0.25">
      <c r="A125" s="593" t="s">
        <v>283</v>
      </c>
      <c r="B125" s="593"/>
      <c r="C125" s="593"/>
      <c r="D125" s="593"/>
      <c r="E125" s="593"/>
      <c r="F125" s="593"/>
      <c r="G125" s="593"/>
      <c r="H125" s="593"/>
      <c r="I125" s="593"/>
      <c r="J125" s="593"/>
      <c r="L125" s="405"/>
    </row>
    <row r="126" spans="1:12" s="394" customFormat="1" ht="7.5" customHeight="1" x14ac:dyDescent="0.25">
      <c r="A126" s="4"/>
      <c r="B126" s="4"/>
      <c r="C126" s="4"/>
      <c r="D126" s="4"/>
      <c r="E126" s="4"/>
      <c r="F126" s="4"/>
      <c r="G126" s="4"/>
      <c r="H126" s="4"/>
      <c r="I126" s="4"/>
      <c r="J126" s="4"/>
      <c r="L126" s="405"/>
    </row>
    <row r="127" spans="1:12" s="405" customFormat="1" ht="18" customHeight="1" thickBot="1" x14ac:dyDescent="0.3">
      <c r="A127" s="457"/>
      <c r="B127" s="14"/>
      <c r="C127" s="458" t="s">
        <v>268</v>
      </c>
      <c r="D127" s="459" t="s">
        <v>269</v>
      </c>
      <c r="E127" s="459"/>
      <c r="F127" s="459" t="s">
        <v>270</v>
      </c>
      <c r="G127" s="460"/>
      <c r="H127" s="459" t="s">
        <v>271</v>
      </c>
      <c r="I127" s="461" t="s">
        <v>272</v>
      </c>
      <c r="J127" s="459" t="s">
        <v>273</v>
      </c>
    </row>
    <row r="128" spans="1:12" s="405" customFormat="1" ht="81.75" customHeight="1" thickBot="1" x14ac:dyDescent="0.3">
      <c r="A128" s="457"/>
      <c r="B128" s="462" t="s">
        <v>267</v>
      </c>
      <c r="C128" s="463" t="s">
        <v>266</v>
      </c>
      <c r="D128" s="348" t="str">
        <f>D11</f>
        <v>80% Coverage</v>
      </c>
      <c r="E128" s="464" t="s">
        <v>260</v>
      </c>
      <c r="F128" s="465" t="s">
        <v>261</v>
      </c>
      <c r="G128" s="466" t="s">
        <v>263</v>
      </c>
      <c r="H128" s="464" t="s">
        <v>262</v>
      </c>
      <c r="I128" s="465" t="s">
        <v>264</v>
      </c>
      <c r="J128" s="465" t="s">
        <v>265</v>
      </c>
    </row>
    <row r="129" spans="1:10" s="405" customFormat="1" ht="18" customHeight="1" x14ac:dyDescent="0.25">
      <c r="A129" s="457"/>
      <c r="B129" s="467" t="s">
        <v>255</v>
      </c>
      <c r="C129" s="468"/>
      <c r="D129" s="469"/>
      <c r="E129" s="469"/>
      <c r="F129" s="470"/>
      <c r="G129" s="469"/>
      <c r="H129" s="469"/>
      <c r="I129" s="470"/>
      <c r="J129" s="471"/>
    </row>
    <row r="130" spans="1:10" s="405" customFormat="1" ht="18" customHeight="1" x14ac:dyDescent="0.25">
      <c r="A130" s="457"/>
      <c r="B130" s="472" t="s">
        <v>250</v>
      </c>
      <c r="C130" s="318">
        <v>200</v>
      </c>
      <c r="D130" s="473">
        <f>HLOOKUP($D$128,'DATA (HIDE)'!$L$1:$O$11,3,FALSE)</f>
        <v>40</v>
      </c>
      <c r="E130" s="474">
        <v>1</v>
      </c>
      <c r="F130" s="475">
        <f>IF(C130/E130&lt;SUM(C13:G13),C130,SUM(C13:G13))</f>
        <v>200</v>
      </c>
      <c r="G130" s="474">
        <f>SUM(SUM(C13:G13)-(F130/E130))</f>
        <v>40</v>
      </c>
      <c r="H130" s="476">
        <f t="shared" ref="H130:H138" si="17">SUM(F130*D130)</f>
        <v>8000</v>
      </c>
      <c r="I130" s="477">
        <f>IF($D$128="70% Coverage",HLOOKUP($C$24,'DATA (HIDE)'!$W$1:$AB$11,3,FALSE),HLOOKUP($C$24,'DATA (HIDE)'!$P$1:$U$11,3,FALSE))</f>
        <v>2.1</v>
      </c>
      <c r="J130" s="268">
        <f>SUM(I130*F130)</f>
        <v>420</v>
      </c>
    </row>
    <row r="131" spans="1:10" s="405" customFormat="1" ht="18" customHeight="1" x14ac:dyDescent="0.25">
      <c r="A131" s="457"/>
      <c r="B131" s="472" t="s">
        <v>251</v>
      </c>
      <c r="C131" s="318">
        <v>0</v>
      </c>
      <c r="D131" s="473">
        <f>HLOOKUP($D$128,'DATA (HIDE)'!$L$1:$O$11,4,FALSE)</f>
        <v>40</v>
      </c>
      <c r="E131" s="474">
        <v>1</v>
      </c>
      <c r="F131" s="475">
        <f t="shared" ref="F131:F138" si="18">IF(C131/E131&lt;=G130,C131,G130*E131)</f>
        <v>0</v>
      </c>
      <c r="G131" s="474">
        <f t="shared" ref="G131:G138" si="19">SUM(G130-(F131/E131))</f>
        <v>40</v>
      </c>
      <c r="H131" s="476">
        <f t="shared" si="17"/>
        <v>0</v>
      </c>
      <c r="I131" s="477">
        <f>IF($D$128="70% Coverage",HLOOKUP($C$24,'DATA (HIDE)'!$W$1:$AB$11,4,FALSE),HLOOKUP($C$24,'DATA (HIDE)'!$P$1:$U$11,4,FALSE))</f>
        <v>2.1</v>
      </c>
      <c r="J131" s="268">
        <f t="shared" ref="J131:J138" si="20">SUM(I131*F131)</f>
        <v>0</v>
      </c>
    </row>
    <row r="132" spans="1:10" s="405" customFormat="1" ht="18" customHeight="1" x14ac:dyDescent="0.25">
      <c r="A132" s="457"/>
      <c r="B132" s="472" t="s">
        <v>252</v>
      </c>
      <c r="C132" s="318">
        <v>0</v>
      </c>
      <c r="D132" s="473">
        <f>HLOOKUP($D$128,'DATA (HIDE)'!$L$1:$O$11,5,FALSE)</f>
        <v>40</v>
      </c>
      <c r="E132" s="474">
        <v>1</v>
      </c>
      <c r="F132" s="475">
        <f t="shared" si="18"/>
        <v>0</v>
      </c>
      <c r="G132" s="474">
        <f t="shared" si="19"/>
        <v>40</v>
      </c>
      <c r="H132" s="476">
        <f t="shared" si="17"/>
        <v>0</v>
      </c>
      <c r="I132" s="477">
        <f>IF($D$128="70% Coverage",HLOOKUP($C$24,'DATA (HIDE)'!$W$1:$AB$11,5,FALSE),HLOOKUP($C$24,'DATA (HIDE)'!$P$1:$U$11,5,FALSE))</f>
        <v>2.1</v>
      </c>
      <c r="J132" s="268">
        <f t="shared" si="20"/>
        <v>0</v>
      </c>
    </row>
    <row r="133" spans="1:10" s="405" customFormat="1" ht="18" customHeight="1" x14ac:dyDescent="0.25">
      <c r="A133" s="457"/>
      <c r="B133" s="472" t="s">
        <v>253</v>
      </c>
      <c r="C133" s="318">
        <v>0</v>
      </c>
      <c r="D133" s="473">
        <f>HLOOKUP($D$128,'DATA (HIDE)'!$L$1:$O$11,6,FALSE)</f>
        <v>20</v>
      </c>
      <c r="E133" s="474">
        <v>2</v>
      </c>
      <c r="F133" s="475">
        <f t="shared" si="18"/>
        <v>0</v>
      </c>
      <c r="G133" s="474">
        <f t="shared" si="19"/>
        <v>40</v>
      </c>
      <c r="H133" s="476">
        <f t="shared" si="17"/>
        <v>0</v>
      </c>
      <c r="I133" s="477">
        <f>IF($D$128="70% Coverage",HLOOKUP($C$24,'DATA (HIDE)'!$W$1:$AB$11,6,FALSE),HLOOKUP($C$24,'DATA (HIDE)'!$P$1:$U$11,6,FALSE))</f>
        <v>1.05</v>
      </c>
      <c r="J133" s="268">
        <f t="shared" si="20"/>
        <v>0</v>
      </c>
    </row>
    <row r="134" spans="1:10" s="405" customFormat="1" ht="18" customHeight="1" x14ac:dyDescent="0.25">
      <c r="A134" s="457"/>
      <c r="B134" s="472" t="s">
        <v>254</v>
      </c>
      <c r="C134" s="318">
        <v>0</v>
      </c>
      <c r="D134" s="473">
        <f>HLOOKUP($D$128,'DATA (HIDE)'!$L$1:$O$11,7,FALSE)</f>
        <v>20</v>
      </c>
      <c r="E134" s="474">
        <v>2</v>
      </c>
      <c r="F134" s="475">
        <f t="shared" si="18"/>
        <v>0</v>
      </c>
      <c r="G134" s="474">
        <f t="shared" si="19"/>
        <v>40</v>
      </c>
      <c r="H134" s="476">
        <f t="shared" si="17"/>
        <v>0</v>
      </c>
      <c r="I134" s="477">
        <f>IF($D$128="70% Coverage",HLOOKUP($C$24,'DATA (HIDE)'!$W$1:$AB$11,7,FALSE),HLOOKUP($C$24,'DATA (HIDE)'!$P$1:$U$11,7,FALSE))</f>
        <v>1.05</v>
      </c>
      <c r="J134" s="268">
        <f t="shared" si="20"/>
        <v>0</v>
      </c>
    </row>
    <row r="135" spans="1:10" s="405" customFormat="1" ht="18" customHeight="1" x14ac:dyDescent="0.25">
      <c r="A135" s="457"/>
      <c r="B135" s="374" t="s">
        <v>256</v>
      </c>
      <c r="C135" s="318">
        <v>0</v>
      </c>
      <c r="D135" s="473">
        <f>HLOOKUP($D$128,'DATA (HIDE)'!$L$1:$O$11,8,FALSE)</f>
        <v>8</v>
      </c>
      <c r="E135" s="474">
        <v>5</v>
      </c>
      <c r="F135" s="475">
        <f t="shared" si="18"/>
        <v>0</v>
      </c>
      <c r="G135" s="474">
        <f t="shared" si="19"/>
        <v>40</v>
      </c>
      <c r="H135" s="476">
        <f t="shared" si="17"/>
        <v>0</v>
      </c>
      <c r="I135" s="477">
        <f>IF($D$128="70% Coverage",HLOOKUP($C$24,'DATA (HIDE)'!$W$1:$AB$11,8,FALSE),HLOOKUP($C$24,'DATA (HIDE)'!$P$1:$U$11,8,FALSE))</f>
        <v>0.42</v>
      </c>
      <c r="J135" s="268">
        <f t="shared" si="20"/>
        <v>0</v>
      </c>
    </row>
    <row r="136" spans="1:10" s="405" customFormat="1" ht="18" customHeight="1" x14ac:dyDescent="0.25">
      <c r="A136" s="457"/>
      <c r="B136" s="374" t="s">
        <v>257</v>
      </c>
      <c r="C136" s="318">
        <v>0</v>
      </c>
      <c r="D136" s="473">
        <f>HLOOKUP($D$128,'DATA (HIDE)'!$L$1:$O$11,9,FALSE)</f>
        <v>40</v>
      </c>
      <c r="E136" s="474">
        <v>1</v>
      </c>
      <c r="F136" s="475">
        <f t="shared" si="18"/>
        <v>0</v>
      </c>
      <c r="G136" s="474">
        <f t="shared" si="19"/>
        <v>40</v>
      </c>
      <c r="H136" s="476">
        <f t="shared" si="17"/>
        <v>0</v>
      </c>
      <c r="I136" s="477">
        <f>IF($D$128="70% Coverage",HLOOKUP($C$24,'DATA (HIDE)'!$W$1:$AB$11,9,FALSE),HLOOKUP($C$24,'DATA (HIDE)'!$P$1:$U$11,9,FALSE))</f>
        <v>2.1</v>
      </c>
      <c r="J136" s="268">
        <f t="shared" si="20"/>
        <v>0</v>
      </c>
    </row>
    <row r="137" spans="1:10" s="405" customFormat="1" ht="18" customHeight="1" x14ac:dyDescent="0.25">
      <c r="A137" s="457"/>
      <c r="B137" s="374" t="s">
        <v>258</v>
      </c>
      <c r="C137" s="318">
        <v>0</v>
      </c>
      <c r="D137" s="473">
        <f>HLOOKUP($D$128,'DATA (HIDE)'!$L$1:$O$11,10,FALSE)</f>
        <v>20</v>
      </c>
      <c r="E137" s="474">
        <v>2</v>
      </c>
      <c r="F137" s="475">
        <f t="shared" si="18"/>
        <v>0</v>
      </c>
      <c r="G137" s="474">
        <f t="shared" si="19"/>
        <v>40</v>
      </c>
      <c r="H137" s="476">
        <f t="shared" si="17"/>
        <v>0</v>
      </c>
      <c r="I137" s="477">
        <f>IF($D$128="70% Coverage",HLOOKUP($C$24,'DATA (HIDE)'!$W$1:$AB$11,10,FALSE),HLOOKUP($C$24,'DATA (HIDE)'!$P$1:$U$11,10,FALSE))</f>
        <v>1.05</v>
      </c>
      <c r="J137" s="268">
        <f t="shared" si="20"/>
        <v>0</v>
      </c>
    </row>
    <row r="138" spans="1:10" s="405" customFormat="1" ht="18" customHeight="1" x14ac:dyDescent="0.25">
      <c r="A138" s="457"/>
      <c r="B138" s="374" t="s">
        <v>259</v>
      </c>
      <c r="C138" s="318">
        <v>0</v>
      </c>
      <c r="D138" s="473">
        <f>HLOOKUP($D$128,'DATA (HIDE)'!$L$1:$O$11,11,FALSE)</f>
        <v>8</v>
      </c>
      <c r="E138" s="474">
        <v>5</v>
      </c>
      <c r="F138" s="475">
        <f t="shared" si="18"/>
        <v>0</v>
      </c>
      <c r="G138" s="474">
        <f t="shared" si="19"/>
        <v>40</v>
      </c>
      <c r="H138" s="478">
        <f t="shared" si="17"/>
        <v>0</v>
      </c>
      <c r="I138" s="477">
        <f>IF($D$128="70% Coverage",HLOOKUP($C$24,'DATA (HIDE)'!$W$1:$AB$11,11,FALSE),HLOOKUP($C$24,'DATA (HIDE)'!$P$1:$U$11,11,FALSE))</f>
        <v>0.42</v>
      </c>
      <c r="J138" s="479">
        <f t="shared" si="20"/>
        <v>0</v>
      </c>
    </row>
    <row r="139" spans="1:10" s="405" customFormat="1" ht="18" customHeight="1" x14ac:dyDescent="0.25">
      <c r="A139" s="457"/>
      <c r="B139" s="375"/>
      <c r="C139" s="480"/>
      <c r="D139" s="481"/>
      <c r="E139" s="481"/>
      <c r="F139" s="481"/>
      <c r="G139" s="481"/>
      <c r="H139" s="482">
        <f>SUM(H130:H138)</f>
        <v>8000</v>
      </c>
      <c r="I139" s="483"/>
      <c r="J139" s="484">
        <f>SUM(J130:J138)</f>
        <v>420</v>
      </c>
    </row>
    <row r="140" spans="1:10" s="405" customFormat="1" ht="7.5" customHeight="1" x14ac:dyDescent="0.25">
      <c r="A140" s="457"/>
      <c r="B140" s="375"/>
      <c r="C140" s="480"/>
      <c r="D140" s="485"/>
      <c r="E140" s="485"/>
      <c r="F140" s="485"/>
      <c r="G140" s="485"/>
      <c r="H140" s="485"/>
      <c r="I140" s="483"/>
      <c r="J140" s="486"/>
    </row>
    <row r="141" spans="1:10" s="405" customFormat="1" ht="18" customHeight="1" x14ac:dyDescent="0.25">
      <c r="A141" s="457"/>
      <c r="B141" s="375"/>
      <c r="C141" s="480"/>
      <c r="D141" s="485"/>
      <c r="E141" s="485"/>
      <c r="F141" s="485"/>
      <c r="G141" s="485"/>
      <c r="H141" s="485"/>
      <c r="I141" s="487" t="s">
        <v>274</v>
      </c>
      <c r="J141" s="488">
        <f>IF(H139=0,0,SUM(J139/H139))</f>
        <v>5.2499999999999998E-2</v>
      </c>
    </row>
    <row r="142" spans="1:10" s="405" customFormat="1" ht="7.5" customHeight="1" thickBot="1" x14ac:dyDescent="0.3">
      <c r="A142" s="457"/>
      <c r="B142" s="376"/>
      <c r="C142" s="489"/>
      <c r="D142" s="490"/>
      <c r="E142" s="490"/>
      <c r="F142" s="490"/>
      <c r="G142" s="490"/>
      <c r="H142" s="490"/>
      <c r="I142" s="491"/>
      <c r="J142" s="492"/>
    </row>
    <row r="143" spans="1:10" s="405" customFormat="1" ht="7.5" customHeight="1" thickBot="1" x14ac:dyDescent="0.3">
      <c r="A143" s="457"/>
      <c r="B143" s="14"/>
      <c r="C143" s="480"/>
      <c r="D143" s="493"/>
      <c r="E143" s="493"/>
      <c r="F143" s="493"/>
      <c r="G143" s="493"/>
      <c r="H143" s="493"/>
      <c r="I143" s="199"/>
      <c r="J143" s="494"/>
    </row>
    <row r="144" spans="1:10" s="405" customFormat="1" ht="36" customHeight="1" thickBot="1" x14ac:dyDescent="0.3">
      <c r="A144" s="457"/>
      <c r="B144" s="14"/>
      <c r="C144" s="332" t="s">
        <v>132</v>
      </c>
      <c r="D144" s="597" t="s">
        <v>183</v>
      </c>
      <c r="E144" s="598"/>
      <c r="F144" s="597" t="s">
        <v>245</v>
      </c>
      <c r="G144" s="598"/>
      <c r="H144" s="493"/>
      <c r="I144" s="199"/>
      <c r="J144" s="494"/>
    </row>
    <row r="145" spans="1:11" s="405" customFormat="1" ht="30.75" customHeight="1" thickBot="1" x14ac:dyDescent="0.3">
      <c r="A145" s="457"/>
      <c r="B145" s="14"/>
      <c r="C145" s="349">
        <f>Q246</f>
        <v>0</v>
      </c>
      <c r="D145" s="398" t="s">
        <v>181</v>
      </c>
      <c r="E145" s="495" t="s">
        <v>182</v>
      </c>
      <c r="F145" s="400" t="s">
        <v>181</v>
      </c>
      <c r="G145" s="496" t="s">
        <v>182</v>
      </c>
      <c r="H145" s="493"/>
      <c r="I145" s="199"/>
      <c r="J145" s="494"/>
    </row>
    <row r="146" spans="1:11" s="405" customFormat="1" ht="30.75" customHeight="1" thickBot="1" x14ac:dyDescent="0.3">
      <c r="A146" s="457"/>
      <c r="B146" s="14"/>
      <c r="C146" s="342" t="str">
        <f>C11</f>
        <v>Low - $58/tonne</v>
      </c>
      <c r="D146" s="342" t="str">
        <f>D11</f>
        <v>80% Coverage</v>
      </c>
      <c r="E146" s="343" t="str">
        <f>D146</f>
        <v>80% Coverage</v>
      </c>
      <c r="F146" s="342" t="str">
        <f>D146</f>
        <v>80% Coverage</v>
      </c>
      <c r="G146" s="342" t="str">
        <f>D146</f>
        <v>80% Coverage</v>
      </c>
      <c r="H146" s="497" t="s">
        <v>2</v>
      </c>
      <c r="I146" s="199"/>
      <c r="J146" s="494"/>
    </row>
    <row r="147" spans="1:11" s="392" customFormat="1" ht="18" customHeight="1" x14ac:dyDescent="0.25">
      <c r="A147" s="529" t="s">
        <v>278</v>
      </c>
      <c r="B147" s="371"/>
      <c r="C147" s="498"/>
      <c r="D147" s="499"/>
      <c r="E147" s="500"/>
      <c r="F147" s="499"/>
      <c r="G147" s="500"/>
      <c r="H147" s="501"/>
    </row>
    <row r="148" spans="1:11" s="392" customFormat="1" ht="18" customHeight="1" x14ac:dyDescent="0.2">
      <c r="A148" s="407" t="s">
        <v>237</v>
      </c>
      <c r="B148" s="372" t="s">
        <v>275</v>
      </c>
      <c r="C148" s="502">
        <f>IF(C13=0,0,SUM(C13/SUM($C$13:$G$13)))</f>
        <v>0</v>
      </c>
      <c r="D148" s="503">
        <f>IF(D13=0,0,SUM(D13/SUM($C$13:$G$13)))</f>
        <v>0.66666666666666663</v>
      </c>
      <c r="E148" s="504">
        <f>IF(E13=0,0,SUM(E13/SUM($C$13:$G$13)))</f>
        <v>0</v>
      </c>
      <c r="F148" s="503">
        <f>IF(F13=0,0,SUM(F13/SUM($C$13:$G$13)))</f>
        <v>0</v>
      </c>
      <c r="G148" s="504">
        <f>IF(G13=0,0,SUM(G13/SUM($C$13:$G$13)))</f>
        <v>0.33333333333333331</v>
      </c>
      <c r="H148" s="505"/>
    </row>
    <row r="149" spans="1:11" s="392" customFormat="1" ht="18" customHeight="1" x14ac:dyDescent="0.25">
      <c r="A149" s="506" t="s">
        <v>238</v>
      </c>
      <c r="B149" s="373" t="s">
        <v>276</v>
      </c>
      <c r="C149" s="507">
        <f>SUM($H$139*C148)</f>
        <v>0</v>
      </c>
      <c r="D149" s="508">
        <f t="shared" ref="D149:G149" si="21">SUM($H$139*D148)</f>
        <v>5333.333333333333</v>
      </c>
      <c r="E149" s="509">
        <f t="shared" si="21"/>
        <v>0</v>
      </c>
      <c r="F149" s="508">
        <f t="shared" si="21"/>
        <v>0</v>
      </c>
      <c r="G149" s="509">
        <f t="shared" si="21"/>
        <v>2666.6666666666665</v>
      </c>
      <c r="H149" s="510">
        <f>SUM(C149:G149)</f>
        <v>8000</v>
      </c>
    </row>
    <row r="150" spans="1:11" s="392" customFormat="1" ht="18" customHeight="1" x14ac:dyDescent="0.2">
      <c r="A150" s="506" t="s">
        <v>239</v>
      </c>
      <c r="B150" s="417" t="s">
        <v>241</v>
      </c>
      <c r="C150" s="511">
        <f>IF(C66&gt;0,C64,0)</f>
        <v>0</v>
      </c>
      <c r="D150" s="528">
        <f t="shared" ref="D150:G150" si="22">IF(D66&gt;0,D64,0)</f>
        <v>0.28092042186001914</v>
      </c>
      <c r="E150" s="527">
        <f t="shared" si="22"/>
        <v>0</v>
      </c>
      <c r="F150" s="528">
        <f t="shared" si="22"/>
        <v>0</v>
      </c>
      <c r="G150" s="527">
        <f t="shared" si="22"/>
        <v>0.21711899791231729</v>
      </c>
      <c r="H150" s="505"/>
    </row>
    <row r="151" spans="1:11" s="429" customFormat="1" ht="24" customHeight="1" thickBot="1" x14ac:dyDescent="0.25">
      <c r="A151" s="512" t="s">
        <v>240</v>
      </c>
      <c r="B151" s="513" t="s">
        <v>288</v>
      </c>
      <c r="C151" s="514">
        <f>SUM(C149*C150)</f>
        <v>0</v>
      </c>
      <c r="D151" s="515">
        <f>SUM(D149*D150)</f>
        <v>1498.242249920102</v>
      </c>
      <c r="E151" s="516">
        <f t="shared" ref="E151:G151" si="23">SUM(E149*E150)</f>
        <v>0</v>
      </c>
      <c r="F151" s="515">
        <f t="shared" si="23"/>
        <v>0</v>
      </c>
      <c r="G151" s="516">
        <f t="shared" si="23"/>
        <v>578.98399443284609</v>
      </c>
      <c r="H151" s="517">
        <f>SUM(C151:G151)</f>
        <v>2077.226244352948</v>
      </c>
    </row>
    <row r="152" spans="1:11" s="532" customFormat="1" ht="7.5" customHeight="1" x14ac:dyDescent="0.25">
      <c r="A152" s="535"/>
      <c r="B152" s="535"/>
      <c r="C152" s="535"/>
      <c r="D152" s="535"/>
      <c r="E152" s="536"/>
      <c r="F152" s="521"/>
      <c r="G152" s="521"/>
      <c r="H152" s="521"/>
      <c r="I152" s="521"/>
      <c r="J152" s="83"/>
    </row>
    <row r="153" spans="1:11" s="532" customFormat="1" ht="7.5" customHeight="1" x14ac:dyDescent="0.25">
      <c r="A153" s="81"/>
      <c r="B153" s="81"/>
      <c r="C153" s="81"/>
      <c r="D153" s="81"/>
      <c r="E153" s="82"/>
      <c r="F153" s="551"/>
      <c r="G153" s="551"/>
      <c r="H153" s="551"/>
      <c r="I153" s="551"/>
      <c r="J153" s="552"/>
    </row>
    <row r="154" spans="1:11" s="532" customFormat="1" ht="18" customHeight="1" x14ac:dyDescent="0.25">
      <c r="A154" s="530" t="s">
        <v>306</v>
      </c>
      <c r="B154" s="81"/>
      <c r="C154" s="81"/>
      <c r="D154" s="81"/>
      <c r="E154" s="82"/>
      <c r="F154" s="551"/>
      <c r="G154" s="551"/>
      <c r="H154" s="551"/>
      <c r="I154" s="551"/>
      <c r="J154" s="552"/>
    </row>
    <row r="155" spans="1:11" s="532" customFormat="1" ht="18" customHeight="1" x14ac:dyDescent="0.2">
      <c r="A155" s="595" t="s">
        <v>304</v>
      </c>
      <c r="B155" s="595"/>
      <c r="C155" s="595"/>
      <c r="D155" s="595"/>
      <c r="E155" s="595"/>
      <c r="F155" s="595"/>
      <c r="G155" s="595"/>
      <c r="H155" s="595"/>
      <c r="I155" s="595"/>
      <c r="J155" s="595"/>
      <c r="K155" s="553"/>
    </row>
    <row r="156" spans="1:11" s="532" customFormat="1" ht="18" customHeight="1" x14ac:dyDescent="0.2">
      <c r="A156" s="595"/>
      <c r="B156" s="595"/>
      <c r="C156" s="595"/>
      <c r="D156" s="595"/>
      <c r="E156" s="595"/>
      <c r="F156" s="595"/>
      <c r="G156" s="595"/>
      <c r="H156" s="595"/>
      <c r="I156" s="595"/>
      <c r="J156" s="595"/>
      <c r="K156" s="553"/>
    </row>
    <row r="157" spans="1:11" s="532" customFormat="1" ht="7.5" customHeight="1" x14ac:dyDescent="0.25">
      <c r="A157" s="81"/>
      <c r="B157" s="81"/>
      <c r="C157" s="81"/>
      <c r="D157" s="81"/>
      <c r="E157" s="82"/>
      <c r="F157" s="551"/>
      <c r="G157" s="551"/>
      <c r="H157" s="551"/>
      <c r="I157" s="551"/>
      <c r="J157" s="552"/>
    </row>
    <row r="158" spans="1:11" s="532" customFormat="1" ht="18" customHeight="1" x14ac:dyDescent="0.2">
      <c r="A158" s="594" t="s">
        <v>305</v>
      </c>
      <c r="B158" s="594"/>
      <c r="C158" s="594"/>
      <c r="D158" s="594"/>
      <c r="E158" s="594"/>
      <c r="F158" s="594"/>
      <c r="G158" s="594"/>
      <c r="H158" s="594"/>
      <c r="I158" s="594"/>
      <c r="J158" s="594"/>
    </row>
    <row r="159" spans="1:11" s="532" customFormat="1" ht="18" customHeight="1" x14ac:dyDescent="0.2">
      <c r="A159" s="594"/>
      <c r="B159" s="594"/>
      <c r="C159" s="594"/>
      <c r="D159" s="594"/>
      <c r="E159" s="594"/>
      <c r="F159" s="594"/>
      <c r="G159" s="594"/>
      <c r="H159" s="594"/>
      <c r="I159" s="594"/>
      <c r="J159" s="594"/>
    </row>
    <row r="160" spans="1:11" s="532" customFormat="1" ht="18" customHeight="1" x14ac:dyDescent="0.2">
      <c r="A160" s="594"/>
      <c r="B160" s="594"/>
      <c r="C160" s="594"/>
      <c r="D160" s="594"/>
      <c r="E160" s="594"/>
      <c r="F160" s="594"/>
      <c r="G160" s="594"/>
      <c r="H160" s="594"/>
      <c r="I160" s="594"/>
      <c r="J160" s="594"/>
    </row>
    <row r="161" spans="1:23" s="532" customFormat="1" ht="18" customHeight="1" x14ac:dyDescent="0.2">
      <c r="A161" s="594"/>
      <c r="B161" s="594"/>
      <c r="C161" s="594"/>
      <c r="D161" s="594"/>
      <c r="E161" s="594"/>
      <c r="F161" s="594"/>
      <c r="G161" s="594"/>
      <c r="H161" s="594"/>
      <c r="I161" s="594"/>
      <c r="J161" s="594"/>
    </row>
    <row r="162" spans="1:23" s="392" customFormat="1" ht="18" customHeight="1" x14ac:dyDescent="0.25">
      <c r="A162" s="6"/>
      <c r="B162" s="518"/>
      <c r="C162" s="519"/>
      <c r="D162" s="519"/>
      <c r="E162" s="519"/>
      <c r="F162" s="519"/>
      <c r="G162" s="519"/>
      <c r="H162" s="476"/>
    </row>
    <row r="163" spans="1:23" s="392" customFormat="1" ht="18" customHeight="1" x14ac:dyDescent="0.25">
      <c r="A163" s="14" t="s">
        <v>290</v>
      </c>
      <c r="C163" s="520"/>
    </row>
    <row r="164" spans="1:23" s="392" customFormat="1" ht="18" customHeight="1" x14ac:dyDescent="0.25">
      <c r="A164" s="81"/>
      <c r="B164" s="81"/>
      <c r="C164" s="81"/>
      <c r="D164" s="81"/>
      <c r="E164" s="82"/>
      <c r="F164" s="521"/>
      <c r="G164" s="521"/>
      <c r="H164" s="521"/>
      <c r="I164" s="521"/>
      <c r="J164" s="83" t="s">
        <v>316</v>
      </c>
      <c r="K164" s="87"/>
      <c r="L164" s="88"/>
      <c r="M164" s="522"/>
      <c r="P164" s="523"/>
      <c r="Q164" s="524"/>
      <c r="R164" s="524"/>
    </row>
    <row r="165" spans="1:23" s="392" customFormat="1" ht="18" customHeight="1" x14ac:dyDescent="0.2">
      <c r="A165" s="84"/>
      <c r="B165" s="85"/>
      <c r="C165" s="86"/>
      <c r="D165" s="86"/>
      <c r="E165" s="86"/>
      <c r="F165" s="525"/>
      <c r="G165" s="525"/>
      <c r="P165" s="523"/>
      <c r="Q165" s="524"/>
      <c r="R165" s="524"/>
    </row>
    <row r="166" spans="1:23" s="526" customFormat="1" ht="18" customHeight="1" x14ac:dyDescent="0.2">
      <c r="A166" s="596"/>
      <c r="B166" s="596"/>
      <c r="D166" s="596"/>
      <c r="E166" s="596"/>
      <c r="H166" s="596"/>
      <c r="I166" s="596"/>
    </row>
    <row r="167" spans="1:23" s="526" customFormat="1" ht="18" customHeight="1" x14ac:dyDescent="0.2">
      <c r="H167" s="63"/>
    </row>
    <row r="168" spans="1:23" s="197" customFormat="1" ht="18" customHeight="1" x14ac:dyDescent="0.25">
      <c r="E168" s="80"/>
    </row>
    <row r="169" spans="1:23" s="63" customFormat="1" ht="18" customHeight="1" x14ac:dyDescent="0.2">
      <c r="A169" s="596"/>
      <c r="B169" s="596"/>
      <c r="D169" s="80"/>
    </row>
    <row r="171" spans="1:23" s="150" customFormat="1" ht="18" hidden="1" x14ac:dyDescent="0.25">
      <c r="I171" s="149"/>
      <c r="J171" s="149"/>
      <c r="K171" s="149"/>
      <c r="L171" s="149"/>
      <c r="M171" s="149"/>
      <c r="N171" s="149"/>
      <c r="O171" s="149"/>
      <c r="P171" s="149"/>
      <c r="Q171" s="147" t="s">
        <v>182</v>
      </c>
      <c r="T171" s="147" t="s">
        <v>142</v>
      </c>
      <c r="U171" s="149"/>
      <c r="V171" s="149" t="s">
        <v>152</v>
      </c>
      <c r="W171" s="149"/>
    </row>
    <row r="172" spans="1:23" s="150" customFormat="1" ht="18" hidden="1" x14ac:dyDescent="0.25">
      <c r="I172" s="149"/>
      <c r="J172" s="149"/>
      <c r="K172" s="149"/>
      <c r="L172" s="149"/>
      <c r="M172" s="149"/>
      <c r="N172" s="149"/>
      <c r="O172" s="149"/>
      <c r="P172" s="149"/>
      <c r="Q172" s="147" t="s">
        <v>181</v>
      </c>
      <c r="T172" s="147" t="s">
        <v>143</v>
      </c>
      <c r="U172" s="149"/>
      <c r="V172" s="149" t="s">
        <v>153</v>
      </c>
      <c r="W172" s="149"/>
    </row>
    <row r="173" spans="1:23" s="150" customFormat="1" ht="18" hidden="1" x14ac:dyDescent="0.25">
      <c r="I173" s="149"/>
      <c r="J173" s="149"/>
      <c r="K173" s="149"/>
      <c r="L173" s="149"/>
      <c r="M173" s="149"/>
      <c r="N173" s="149"/>
      <c r="O173" s="149"/>
      <c r="P173" s="149"/>
      <c r="Q173" s="149"/>
      <c r="T173" s="147" t="s">
        <v>144</v>
      </c>
      <c r="U173" s="149"/>
      <c r="V173" s="149" t="s">
        <v>154</v>
      </c>
      <c r="W173" s="149"/>
    </row>
    <row r="174" spans="1:23" s="150" customFormat="1" ht="18" hidden="1" x14ac:dyDescent="0.25">
      <c r="I174" s="149"/>
      <c r="J174" s="149"/>
      <c r="K174" s="149"/>
      <c r="L174" s="149"/>
      <c r="M174" s="149"/>
      <c r="N174" s="149"/>
      <c r="O174" s="149"/>
      <c r="P174" s="149"/>
      <c r="Q174" s="149" t="str">
        <f>'DATA (HIDE)'!F9</f>
        <v>Low - $67/tonne</v>
      </c>
      <c r="T174" s="147" t="s">
        <v>145</v>
      </c>
      <c r="U174" s="149"/>
      <c r="V174" s="149" t="s">
        <v>155</v>
      </c>
      <c r="W174" s="149"/>
    </row>
    <row r="175" spans="1:23" s="150" customFormat="1" ht="18" hidden="1" x14ac:dyDescent="0.25">
      <c r="I175" s="149"/>
      <c r="J175" s="149"/>
      <c r="K175" s="149"/>
      <c r="L175" s="149"/>
      <c r="M175" s="149"/>
      <c r="N175" s="149"/>
      <c r="O175" s="149"/>
      <c r="P175" s="149"/>
      <c r="Q175" s="149" t="str">
        <f>'DATA (HIDE)'!F10</f>
        <v>High - $111/tonne</v>
      </c>
      <c r="T175" s="147" t="s">
        <v>146</v>
      </c>
      <c r="U175" s="149"/>
      <c r="V175" s="149" t="s">
        <v>156</v>
      </c>
      <c r="W175" s="149"/>
    </row>
    <row r="176" spans="1:23" s="150" customFormat="1" ht="18" hidden="1" x14ac:dyDescent="0.25">
      <c r="I176" s="149"/>
      <c r="J176" s="149"/>
      <c r="K176" s="149"/>
      <c r="L176" s="149"/>
      <c r="M176" s="149"/>
      <c r="N176" s="149"/>
      <c r="O176" s="149"/>
      <c r="P176" s="149"/>
      <c r="Q176" s="149"/>
      <c r="T176" s="147" t="s">
        <v>147</v>
      </c>
      <c r="U176" s="149"/>
      <c r="V176" s="149" t="s">
        <v>151</v>
      </c>
      <c r="W176" s="149"/>
    </row>
    <row r="177" spans="2:23" s="150" customFormat="1" ht="18" hidden="1" x14ac:dyDescent="0.25">
      <c r="I177" s="149"/>
      <c r="J177" s="149"/>
      <c r="K177" s="149"/>
      <c r="L177" s="149"/>
      <c r="M177" s="149"/>
      <c r="N177" s="149"/>
      <c r="O177" s="149"/>
      <c r="P177" s="149"/>
      <c r="Q177" s="176" t="s">
        <v>140</v>
      </c>
      <c r="R177" s="149"/>
      <c r="S177" s="149"/>
      <c r="T177" s="149"/>
      <c r="U177" s="149"/>
      <c r="V177" s="149" t="s">
        <v>157</v>
      </c>
      <c r="W177" s="149"/>
    </row>
    <row r="178" spans="2:23" s="150" customFormat="1" ht="18" hidden="1" x14ac:dyDescent="0.25">
      <c r="I178" s="149"/>
      <c r="J178" s="149"/>
      <c r="K178" s="149"/>
      <c r="L178" s="149"/>
      <c r="M178" s="149"/>
      <c r="N178" s="149"/>
      <c r="O178" s="149"/>
      <c r="P178" s="149"/>
      <c r="Q178" s="176" t="s">
        <v>141</v>
      </c>
      <c r="R178" s="149"/>
      <c r="S178" s="149"/>
      <c r="T178" s="149"/>
      <c r="U178" s="149"/>
      <c r="V178" s="149" t="s">
        <v>158</v>
      </c>
      <c r="W178" s="149"/>
    </row>
    <row r="179" spans="2:23" s="150" customFormat="1" ht="18" hidden="1" x14ac:dyDescent="0.25">
      <c r="I179" s="149"/>
      <c r="J179" s="149"/>
      <c r="K179" s="149"/>
      <c r="L179" s="149"/>
      <c r="M179" s="149"/>
      <c r="N179" s="149"/>
      <c r="O179" s="149"/>
      <c r="P179" s="149"/>
      <c r="Q179" s="149"/>
      <c r="R179" s="149"/>
      <c r="S179" s="149"/>
      <c r="T179" s="149"/>
      <c r="U179" s="149"/>
      <c r="V179" s="149" t="s">
        <v>159</v>
      </c>
      <c r="W179" s="149"/>
    </row>
    <row r="180" spans="2:23" s="150" customFormat="1" ht="18" hidden="1" x14ac:dyDescent="0.25">
      <c r="I180" s="149"/>
      <c r="J180" s="149"/>
      <c r="K180" s="149"/>
      <c r="L180" s="149"/>
      <c r="M180" s="149"/>
      <c r="N180" s="149"/>
      <c r="O180" s="149"/>
      <c r="P180" s="149"/>
      <c r="Q180" s="149" t="s">
        <v>204</v>
      </c>
      <c r="R180" s="149"/>
      <c r="S180" s="149"/>
      <c r="T180" s="149"/>
      <c r="U180" s="149"/>
      <c r="V180" s="149" t="s">
        <v>160</v>
      </c>
      <c r="W180" s="149"/>
    </row>
    <row r="181" spans="2:23" s="150" customFormat="1" ht="18" hidden="1" x14ac:dyDescent="0.25">
      <c r="I181" s="149"/>
      <c r="J181" s="149"/>
      <c r="K181" s="149"/>
      <c r="L181" s="149"/>
      <c r="M181" s="149"/>
      <c r="N181" s="149"/>
      <c r="O181" s="149"/>
      <c r="P181" s="149"/>
      <c r="Q181" s="149" t="s">
        <v>205</v>
      </c>
      <c r="R181" s="149"/>
      <c r="S181" s="149"/>
      <c r="T181" s="149"/>
      <c r="U181" s="149"/>
      <c r="V181" s="149" t="s">
        <v>161</v>
      </c>
      <c r="W181" s="149"/>
    </row>
    <row r="182" spans="2:23" s="150" customFormat="1" ht="18" hidden="1" x14ac:dyDescent="0.25">
      <c r="I182" s="149"/>
      <c r="J182" s="149"/>
      <c r="K182" s="149"/>
      <c r="L182" s="149"/>
      <c r="M182" s="149"/>
      <c r="N182" s="149"/>
      <c r="O182" s="149"/>
      <c r="P182" s="149"/>
      <c r="Q182" s="149"/>
      <c r="R182" s="149"/>
      <c r="S182" s="149"/>
      <c r="T182" s="149"/>
      <c r="U182" s="149"/>
      <c r="V182" s="149" t="s">
        <v>162</v>
      </c>
      <c r="W182" s="149"/>
    </row>
    <row r="183" spans="2:23" s="150" customFormat="1" ht="18" hidden="1" x14ac:dyDescent="0.25">
      <c r="I183" s="149"/>
      <c r="J183" s="149"/>
      <c r="K183" s="149"/>
      <c r="L183" s="149"/>
      <c r="M183" s="149"/>
      <c r="N183" s="149"/>
      <c r="O183" s="149"/>
      <c r="P183" s="149"/>
      <c r="Q183" s="149"/>
      <c r="R183" s="149"/>
      <c r="S183" s="149"/>
      <c r="T183" s="149"/>
      <c r="U183" s="149"/>
      <c r="V183" s="149" t="s">
        <v>163</v>
      </c>
      <c r="W183" s="149"/>
    </row>
    <row r="184" spans="2:23" s="150" customFormat="1" ht="18" hidden="1" x14ac:dyDescent="0.25">
      <c r="I184" s="149"/>
      <c r="J184" s="149"/>
      <c r="K184" s="149"/>
      <c r="L184" s="149"/>
      <c r="M184" s="149"/>
      <c r="N184" s="149"/>
      <c r="O184" s="149"/>
      <c r="P184" s="149"/>
      <c r="Q184" s="149"/>
      <c r="R184" s="149"/>
      <c r="S184" s="149"/>
      <c r="T184" s="149"/>
      <c r="U184" s="149"/>
      <c r="V184" s="149" t="s">
        <v>164</v>
      </c>
      <c r="W184" s="149"/>
    </row>
    <row r="185" spans="2:23" s="150" customFormat="1" ht="18" hidden="1" x14ac:dyDescent="0.25">
      <c r="I185" s="149"/>
      <c r="J185" s="149"/>
      <c r="K185" s="149"/>
      <c r="L185" s="149"/>
      <c r="M185" s="149"/>
      <c r="N185" s="149"/>
      <c r="O185" s="149"/>
      <c r="P185" s="149"/>
      <c r="Q185" s="149"/>
      <c r="R185" s="149"/>
      <c r="S185" s="149"/>
      <c r="T185" s="149"/>
      <c r="U185" s="149"/>
      <c r="V185" s="149" t="s">
        <v>172</v>
      </c>
      <c r="W185" s="149"/>
    </row>
    <row r="187" spans="2:23" x14ac:dyDescent="0.2">
      <c r="F187" s="64"/>
    </row>
    <row r="188" spans="2:23" ht="18" customHeight="1" x14ac:dyDescent="0.2">
      <c r="H188" s="79"/>
    </row>
    <row r="189" spans="2:23" x14ac:dyDescent="0.2">
      <c r="H189" s="79"/>
    </row>
    <row r="190" spans="2:23" x14ac:dyDescent="0.2">
      <c r="H190" s="79"/>
    </row>
    <row r="191" spans="2:23" x14ac:dyDescent="0.2">
      <c r="H191" s="79"/>
    </row>
    <row r="192" spans="2:23" x14ac:dyDescent="0.2">
      <c r="B192" s="69"/>
      <c r="C192" s="315"/>
      <c r="D192" s="315"/>
      <c r="E192" s="317"/>
      <c r="F192" s="317"/>
      <c r="G192" s="316"/>
      <c r="H192" s="79"/>
    </row>
    <row r="193" spans="2:8" x14ac:dyDescent="0.2">
      <c r="H193" s="79"/>
    </row>
    <row r="194" spans="2:8" x14ac:dyDescent="0.2">
      <c r="B194" s="69"/>
      <c r="C194" s="315"/>
      <c r="D194" s="315"/>
      <c r="E194" s="317"/>
      <c r="F194" s="317"/>
      <c r="G194" s="316"/>
      <c r="H194" s="79"/>
    </row>
    <row r="195" spans="2:8" x14ac:dyDescent="0.2">
      <c r="H195" s="79"/>
    </row>
    <row r="196" spans="2:8" x14ac:dyDescent="0.2">
      <c r="C196" s="312"/>
      <c r="D196" s="313"/>
      <c r="E196" s="313"/>
    </row>
    <row r="197" spans="2:8" x14ac:dyDescent="0.2">
      <c r="C197" s="312"/>
      <c r="D197" s="313"/>
      <c r="E197" s="313"/>
    </row>
    <row r="198" spans="2:8" x14ac:dyDescent="0.2">
      <c r="C198" s="312"/>
      <c r="D198" s="313"/>
      <c r="E198" s="313"/>
    </row>
    <row r="199" spans="2:8" x14ac:dyDescent="0.2">
      <c r="C199" s="312"/>
      <c r="D199" s="313"/>
      <c r="E199" s="313"/>
    </row>
    <row r="200" spans="2:8" x14ac:dyDescent="0.2">
      <c r="C200" s="312"/>
      <c r="D200" s="313"/>
      <c r="E200" s="313"/>
    </row>
    <row r="201" spans="2:8" x14ac:dyDescent="0.2">
      <c r="C201" s="312"/>
      <c r="D201" s="313"/>
      <c r="E201" s="313"/>
    </row>
    <row r="202" spans="2:8" x14ac:dyDescent="0.2">
      <c r="C202" s="312"/>
      <c r="D202" s="313"/>
      <c r="E202" s="313"/>
    </row>
    <row r="203" spans="2:8" x14ac:dyDescent="0.2">
      <c r="C203" s="312"/>
      <c r="D203" s="313"/>
      <c r="E203" s="313"/>
    </row>
    <row r="204" spans="2:8" x14ac:dyDescent="0.2">
      <c r="C204" s="312"/>
      <c r="D204" s="313"/>
      <c r="E204" s="313"/>
    </row>
    <row r="205" spans="2:8" x14ac:dyDescent="0.2">
      <c r="C205" s="312"/>
      <c r="D205" s="313"/>
      <c r="E205" s="313"/>
    </row>
    <row r="206" spans="2:8" x14ac:dyDescent="0.2">
      <c r="C206" s="312"/>
      <c r="D206" s="313"/>
      <c r="E206" s="313"/>
    </row>
    <row r="207" spans="2:8" x14ac:dyDescent="0.2">
      <c r="C207" s="312"/>
      <c r="D207" s="313"/>
      <c r="E207" s="313"/>
    </row>
    <row r="208" spans="2:8" x14ac:dyDescent="0.2">
      <c r="C208" s="312"/>
      <c r="D208" s="313"/>
      <c r="E208" s="313"/>
    </row>
    <row r="209" spans="3:5" x14ac:dyDescent="0.2">
      <c r="C209" s="312"/>
      <c r="D209" s="313"/>
      <c r="E209" s="313"/>
    </row>
    <row r="210" spans="3:5" x14ac:dyDescent="0.2">
      <c r="C210" s="312"/>
      <c r="D210" s="313"/>
      <c r="E210" s="313"/>
    </row>
    <row r="211" spans="3:5" x14ac:dyDescent="0.2">
      <c r="C211" s="312"/>
      <c r="D211" s="313"/>
      <c r="E211" s="313"/>
    </row>
    <row r="212" spans="3:5" x14ac:dyDescent="0.2">
      <c r="C212" s="312"/>
      <c r="D212" s="313"/>
      <c r="E212" s="313"/>
    </row>
    <row r="213" spans="3:5" x14ac:dyDescent="0.2">
      <c r="C213" s="312"/>
      <c r="D213" s="313"/>
      <c r="E213" s="313"/>
    </row>
    <row r="214" spans="3:5" x14ac:dyDescent="0.2">
      <c r="C214" s="312"/>
      <c r="D214" s="313"/>
      <c r="E214" s="313"/>
    </row>
    <row r="215" spans="3:5" x14ac:dyDescent="0.2">
      <c r="C215" s="312"/>
      <c r="D215" s="313"/>
      <c r="E215" s="313"/>
    </row>
    <row r="216" spans="3:5" x14ac:dyDescent="0.2">
      <c r="C216" s="312"/>
      <c r="D216" s="313"/>
      <c r="E216" s="313"/>
    </row>
    <row r="217" spans="3:5" x14ac:dyDescent="0.2">
      <c r="C217" s="312"/>
      <c r="D217" s="313"/>
      <c r="E217" s="313"/>
    </row>
    <row r="218" spans="3:5" x14ac:dyDescent="0.2">
      <c r="C218" s="312"/>
      <c r="D218" s="313"/>
      <c r="E218" s="313"/>
    </row>
    <row r="219" spans="3:5" x14ac:dyDescent="0.2">
      <c r="C219" s="312"/>
      <c r="D219" s="313"/>
      <c r="E219" s="313"/>
    </row>
    <row r="220" spans="3:5" x14ac:dyDescent="0.2">
      <c r="C220" s="312"/>
      <c r="D220" s="313"/>
      <c r="E220" s="313"/>
    </row>
    <row r="221" spans="3:5" x14ac:dyDescent="0.2">
      <c r="C221" s="312"/>
      <c r="D221" s="313"/>
      <c r="E221" s="313"/>
    </row>
    <row r="222" spans="3:5" x14ac:dyDescent="0.2">
      <c r="C222" s="312"/>
      <c r="D222" s="313"/>
      <c r="E222" s="313"/>
    </row>
    <row r="223" spans="3:5" x14ac:dyDescent="0.2">
      <c r="C223" s="312"/>
      <c r="D223" s="313"/>
      <c r="E223" s="313"/>
    </row>
    <row r="224" spans="3:5" x14ac:dyDescent="0.2">
      <c r="C224" s="312"/>
      <c r="D224" s="313"/>
      <c r="E224" s="313"/>
    </row>
    <row r="225" spans="3:5" x14ac:dyDescent="0.2">
      <c r="C225" s="312"/>
      <c r="D225" s="313"/>
      <c r="E225" s="313"/>
    </row>
    <row r="226" spans="3:5" x14ac:dyDescent="0.2">
      <c r="C226" s="312"/>
      <c r="D226" s="313"/>
      <c r="E226" s="313"/>
    </row>
    <row r="227" spans="3:5" x14ac:dyDescent="0.2">
      <c r="C227" s="312"/>
      <c r="D227" s="313"/>
      <c r="E227" s="313"/>
    </row>
    <row r="228" spans="3:5" x14ac:dyDescent="0.2">
      <c r="C228" s="312"/>
      <c r="D228" s="313"/>
      <c r="E228" s="313"/>
    </row>
    <row r="229" spans="3:5" x14ac:dyDescent="0.2">
      <c r="C229" s="312"/>
      <c r="D229" s="313"/>
      <c r="E229" s="313"/>
    </row>
    <row r="230" spans="3:5" x14ac:dyDescent="0.2">
      <c r="C230" s="312"/>
      <c r="D230" s="313"/>
      <c r="E230" s="313"/>
    </row>
    <row r="231" spans="3:5" x14ac:dyDescent="0.2">
      <c r="C231" s="312"/>
      <c r="D231" s="313"/>
      <c r="E231" s="313"/>
    </row>
    <row r="232" spans="3:5" x14ac:dyDescent="0.2">
      <c r="C232" s="312"/>
      <c r="D232" s="313"/>
      <c r="E232" s="313"/>
    </row>
    <row r="233" spans="3:5" x14ac:dyDescent="0.2">
      <c r="C233" s="312"/>
      <c r="D233" s="313"/>
      <c r="E233" s="313"/>
    </row>
    <row r="234" spans="3:5" x14ac:dyDescent="0.2">
      <c r="C234" s="312"/>
      <c r="D234" s="313"/>
      <c r="E234" s="313"/>
    </row>
    <row r="235" spans="3:5" x14ac:dyDescent="0.2">
      <c r="C235" s="312"/>
      <c r="D235" s="313"/>
      <c r="E235" s="313"/>
    </row>
    <row r="236" spans="3:5" x14ac:dyDescent="0.2">
      <c r="C236" s="312"/>
      <c r="D236" s="313"/>
      <c r="E236" s="313"/>
    </row>
    <row r="237" spans="3:5" x14ac:dyDescent="0.2">
      <c r="C237" s="312"/>
      <c r="D237" s="313"/>
      <c r="E237" s="313"/>
    </row>
    <row r="238" spans="3:5" x14ac:dyDescent="0.2">
      <c r="C238" s="312"/>
      <c r="D238" s="313"/>
      <c r="E238" s="313"/>
    </row>
    <row r="239" spans="3:5" x14ac:dyDescent="0.2">
      <c r="C239" s="312"/>
      <c r="D239" s="313"/>
      <c r="E239" s="313"/>
    </row>
    <row r="240" spans="3:5" x14ac:dyDescent="0.2">
      <c r="C240" s="312"/>
      <c r="D240" s="313"/>
      <c r="E240" s="313"/>
    </row>
    <row r="241" spans="3:5" x14ac:dyDescent="0.2">
      <c r="C241" s="312"/>
      <c r="D241" s="313"/>
      <c r="E241" s="313"/>
    </row>
    <row r="242" spans="3:5" x14ac:dyDescent="0.2">
      <c r="C242" s="312"/>
      <c r="D242" s="313"/>
      <c r="E242" s="313"/>
    </row>
    <row r="243" spans="3:5" x14ac:dyDescent="0.2">
      <c r="C243" s="312"/>
      <c r="D243" s="313"/>
      <c r="E243" s="313"/>
    </row>
    <row r="244" spans="3:5" x14ac:dyDescent="0.2">
      <c r="C244" s="312"/>
      <c r="D244" s="313"/>
      <c r="E244" s="313"/>
    </row>
    <row r="245" spans="3:5" x14ac:dyDescent="0.2">
      <c r="C245" s="312"/>
      <c r="D245" s="313"/>
      <c r="E245" s="313"/>
    </row>
    <row r="246" spans="3:5" x14ac:dyDescent="0.2">
      <c r="C246" s="312"/>
      <c r="D246" s="313"/>
      <c r="E246" s="313"/>
    </row>
    <row r="247" spans="3:5" x14ac:dyDescent="0.2">
      <c r="C247" s="312"/>
      <c r="D247" s="313"/>
      <c r="E247" s="313"/>
    </row>
    <row r="248" spans="3:5" x14ac:dyDescent="0.2">
      <c r="C248" s="312"/>
      <c r="D248" s="313"/>
      <c r="E248" s="313"/>
    </row>
    <row r="249" spans="3:5" x14ac:dyDescent="0.2">
      <c r="C249" s="312"/>
      <c r="D249" s="313"/>
      <c r="E249" s="313"/>
    </row>
    <row r="250" spans="3:5" x14ac:dyDescent="0.2">
      <c r="C250" s="312"/>
      <c r="D250" s="313"/>
      <c r="E250" s="313"/>
    </row>
    <row r="251" spans="3:5" x14ac:dyDescent="0.2">
      <c r="C251" s="312"/>
      <c r="D251" s="313"/>
      <c r="E251" s="313"/>
    </row>
  </sheetData>
  <sheetProtection password="C6A6" sheet="1" objects="1" scenarios="1"/>
  <mergeCells count="18">
    <mergeCell ref="D9:E9"/>
    <mergeCell ref="A29:J29"/>
    <mergeCell ref="A7:J7"/>
    <mergeCell ref="A158:J161"/>
    <mergeCell ref="A155:J156"/>
    <mergeCell ref="A169:B169"/>
    <mergeCell ref="D144:E144"/>
    <mergeCell ref="F144:G144"/>
    <mergeCell ref="F9:G9"/>
    <mergeCell ref="D68:H69"/>
    <mergeCell ref="C24:D24"/>
    <mergeCell ref="C25:D25"/>
    <mergeCell ref="A166:B166"/>
    <mergeCell ref="D166:E166"/>
    <mergeCell ref="H166:I166"/>
    <mergeCell ref="A125:J125"/>
    <mergeCell ref="A37:I37"/>
    <mergeCell ref="H106:J106"/>
  </mergeCells>
  <conditionalFormatting sqref="C40:H40">
    <cfRule type="expression" dxfId="42" priority="84" stopIfTrue="1">
      <formula>#REF!&lt;100%</formula>
    </cfRule>
    <cfRule type="expression" dxfId="41" priority="85" stopIfTrue="1">
      <formula>#REF!&gt;100%</formula>
    </cfRule>
  </conditionalFormatting>
  <conditionalFormatting sqref="E87">
    <cfRule type="expression" dxfId="40" priority="78" stopIfTrue="1">
      <formula>$E$87&lt;100%</formula>
    </cfRule>
    <cfRule type="expression" dxfId="39" priority="79" stopIfTrue="1">
      <formula>$E$87&gt;100%</formula>
    </cfRule>
  </conditionalFormatting>
  <conditionalFormatting sqref="D87">
    <cfRule type="expression" dxfId="38" priority="76" stopIfTrue="1">
      <formula>$D$87&lt;100%</formula>
    </cfRule>
    <cfRule type="expression" dxfId="37" priority="77" stopIfTrue="1">
      <formula>$D$87&gt;100%</formula>
    </cfRule>
  </conditionalFormatting>
  <conditionalFormatting sqref="E88:E105 E107:E123">
    <cfRule type="expression" dxfId="36" priority="66" stopIfTrue="1">
      <formula>$E$88&lt;100%</formula>
    </cfRule>
    <cfRule type="expression" dxfId="35" priority="67" stopIfTrue="1">
      <formula>$E$88&gt;100</formula>
    </cfRule>
  </conditionalFormatting>
  <conditionalFormatting sqref="G10 E10 C24:C25 E145">
    <cfRule type="expression" dxfId="34" priority="86" stopIfTrue="1">
      <formula>$K$188&gt;0</formula>
    </cfRule>
  </conditionalFormatting>
  <conditionalFormatting sqref="G88:G105 G107:G123">
    <cfRule type="expression" dxfId="33" priority="91" stopIfTrue="1">
      <formula>$G$88&lt;100%</formula>
    </cfRule>
    <cfRule type="expression" dxfId="32" priority="92" stopIfTrue="1">
      <formula>$G$88&gt;100</formula>
    </cfRule>
  </conditionalFormatting>
  <conditionalFormatting sqref="G87">
    <cfRule type="expression" dxfId="31" priority="97" stopIfTrue="1">
      <formula>$G$87&lt;100%</formula>
    </cfRule>
    <cfRule type="expression" dxfId="30" priority="98" stopIfTrue="1">
      <formula>$G$87&gt;100%</formula>
    </cfRule>
  </conditionalFormatting>
  <conditionalFormatting sqref="F10">
    <cfRule type="expression" dxfId="29" priority="54" stopIfTrue="1">
      <formula>$K$188&gt;0</formula>
    </cfRule>
  </conditionalFormatting>
  <conditionalFormatting sqref="D10">
    <cfRule type="expression" dxfId="28" priority="37" stopIfTrue="1">
      <formula>$K$188&gt;0</formula>
    </cfRule>
  </conditionalFormatting>
  <conditionalFormatting sqref="H87">
    <cfRule type="expression" dxfId="27" priority="99" stopIfTrue="1">
      <formula>$H$87&lt;100%</formula>
    </cfRule>
    <cfRule type="expression" dxfId="26" priority="100" stopIfTrue="1">
      <formula>$H$87&gt;100%</formula>
    </cfRule>
  </conditionalFormatting>
  <conditionalFormatting sqref="C11">
    <cfRule type="expression" dxfId="25" priority="24" stopIfTrue="1">
      <formula>$K$188&gt;0</formula>
    </cfRule>
  </conditionalFormatting>
  <conditionalFormatting sqref="C87">
    <cfRule type="expression" dxfId="24" priority="80" stopIfTrue="1">
      <formula>$C$87&lt;100%</formula>
    </cfRule>
    <cfRule type="expression" dxfId="23" priority="81" stopIfTrue="1">
      <formula>$C$87&gt;100%</formula>
    </cfRule>
  </conditionalFormatting>
  <conditionalFormatting sqref="C88:C105 C107:C123">
    <cfRule type="expression" dxfId="22" priority="68" stopIfTrue="1">
      <formula>$C$88&lt;100%</formula>
    </cfRule>
    <cfRule type="expression" dxfId="21" priority="69" stopIfTrue="1">
      <formula>$C$88&gt;100</formula>
    </cfRule>
  </conditionalFormatting>
  <conditionalFormatting sqref="F87">
    <cfRule type="expression" dxfId="20" priority="20">
      <formula>$F$87&gt;100%</formula>
    </cfRule>
    <cfRule type="expression" dxfId="19" priority="21">
      <formula>$F$87&lt;100%</formula>
    </cfRule>
  </conditionalFormatting>
  <conditionalFormatting sqref="F88:F123">
    <cfRule type="expression" dxfId="18" priority="18">
      <formula>$F$88&gt;100%</formula>
    </cfRule>
    <cfRule type="expression" dxfId="17" priority="19">
      <formula>$F$88&lt;100%</formula>
    </cfRule>
  </conditionalFormatting>
  <conditionalFormatting sqref="H88:H105 H107:H123">
    <cfRule type="expression" dxfId="16" priority="16">
      <formula>$H$88&gt;100%</formula>
    </cfRule>
    <cfRule type="expression" dxfId="15" priority="17">
      <formula>$H$88&lt;100%</formula>
    </cfRule>
  </conditionalFormatting>
  <conditionalFormatting sqref="D11">
    <cfRule type="expression" dxfId="14" priority="15" stopIfTrue="1">
      <formula>$K$188&gt;0</formula>
    </cfRule>
  </conditionalFormatting>
  <conditionalFormatting sqref="E11">
    <cfRule type="expression" dxfId="13" priority="14" stopIfTrue="1">
      <formula>$K$188&gt;0</formula>
    </cfRule>
  </conditionalFormatting>
  <conditionalFormatting sqref="F11">
    <cfRule type="expression" dxfId="12" priority="13" stopIfTrue="1">
      <formula>$K$188&gt;0</formula>
    </cfRule>
  </conditionalFormatting>
  <conditionalFormatting sqref="G11">
    <cfRule type="expression" dxfId="11" priority="12" stopIfTrue="1">
      <formula>$K$188&gt;0</formula>
    </cfRule>
  </conditionalFormatting>
  <conditionalFormatting sqref="D128">
    <cfRule type="expression" dxfId="10" priority="9" stopIfTrue="1">
      <formula>$K$188&gt;0</formula>
    </cfRule>
  </conditionalFormatting>
  <conditionalFormatting sqref="G145">
    <cfRule type="expression" dxfId="9" priority="8" stopIfTrue="1">
      <formula>$K$188&gt;0</formula>
    </cfRule>
  </conditionalFormatting>
  <conditionalFormatting sqref="F145">
    <cfRule type="expression" dxfId="8" priority="7" stopIfTrue="1">
      <formula>$K$188&gt;0</formula>
    </cfRule>
  </conditionalFormatting>
  <conditionalFormatting sqref="D145">
    <cfRule type="expression" dxfId="7" priority="6" stopIfTrue="1">
      <formula>$K$188&gt;0</formula>
    </cfRule>
  </conditionalFormatting>
  <conditionalFormatting sqref="C146">
    <cfRule type="expression" dxfId="6" priority="5" stopIfTrue="1">
      <formula>$K$188&gt;0</formula>
    </cfRule>
  </conditionalFormatting>
  <conditionalFormatting sqref="D146">
    <cfRule type="expression" dxfId="5" priority="4" stopIfTrue="1">
      <formula>$K$188&gt;0</formula>
    </cfRule>
  </conditionalFormatting>
  <conditionalFormatting sqref="E146">
    <cfRule type="expression" dxfId="4" priority="3" stopIfTrue="1">
      <formula>$K$188&gt;0</formula>
    </cfRule>
  </conditionalFormatting>
  <conditionalFormatting sqref="F146">
    <cfRule type="expression" dxfId="3" priority="2" stopIfTrue="1">
      <formula>$K$188&gt;0</formula>
    </cfRule>
  </conditionalFormatting>
  <conditionalFormatting sqref="G146">
    <cfRule type="expression" dxfId="2" priority="1" stopIfTrue="1">
      <formula>$K$188&gt;0</formula>
    </cfRule>
  </conditionalFormatting>
  <conditionalFormatting sqref="D88:D105 D107:D123">
    <cfRule type="expression" dxfId="1" priority="153" stopIfTrue="1">
      <formula>$D$88&lt;100%</formula>
    </cfRule>
    <cfRule type="expression" dxfId="0" priority="154" stopIfTrue="1">
      <formula>$D$63152</formula>
    </cfRule>
  </conditionalFormatting>
  <dataValidations count="6">
    <dataValidation type="list" allowBlank="1" showInputMessage="1" showErrorMessage="1" sqref="C25">
      <formula1>$V$171:$V$185</formula1>
    </dataValidation>
    <dataValidation type="list" allowBlank="1" showInputMessage="1" showErrorMessage="1" sqref="D10:G10 D145:G145">
      <formula1>$Q$171:$Q$172</formula1>
    </dataValidation>
    <dataValidation type="list" allowBlank="1" showInputMessage="1" showErrorMessage="1" sqref="C69">
      <formula1>$Q$180:$Q$181</formula1>
    </dataValidation>
    <dataValidation type="list" allowBlank="1" showInputMessage="1" showErrorMessage="1" sqref="C11 C146">
      <formula1>$Q$174:$Q$175</formula1>
    </dataValidation>
    <dataValidation type="list" allowBlank="1" showInputMessage="1" showErrorMessage="1" sqref="D11:G11 D128 D146:G146">
      <formula1>$Q$177:$Q$178</formula1>
    </dataValidation>
    <dataValidation type="list" allowBlank="1" showInputMessage="1" showErrorMessage="1" sqref="C24">
      <formula1>$T$171:$T$176</formula1>
    </dataValidation>
  </dataValidations>
  <pageMargins left="0.70866141732283472" right="0.70866141732283472" top="0.74803149606299213" bottom="0.55118110236220474" header="0.31496062992125984" footer="0.31496062992125984"/>
  <pageSetup scale="58" firstPageNumber="6" fitToHeight="3" orientation="portrait" horizontalDpi="1200" verticalDpi="1200" r:id="rId1"/>
  <headerFooter scaleWithDoc="0">
    <oddHeader>&amp;R&amp;P</oddHeader>
  </headerFooter>
  <rowBreaks count="2" manualBreakCount="2">
    <brk id="67" max="9" man="1"/>
    <brk id="123" max="9" man="1"/>
  </rowBreaks>
  <ignoredErrors>
    <ignoredError sqref="F130:G130"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B152"/>
  <sheetViews>
    <sheetView zoomScale="90" zoomScaleNormal="90" workbookViewId="0">
      <selection activeCell="A14" sqref="A14"/>
    </sheetView>
  </sheetViews>
  <sheetFormatPr defaultRowHeight="15" x14ac:dyDescent="0.2"/>
  <cols>
    <col min="1" max="1" width="37.140625" style="1" customWidth="1"/>
    <col min="2" max="2" width="17.5703125" style="1" customWidth="1"/>
    <col min="3" max="3" width="11" style="1" customWidth="1"/>
    <col min="4" max="4" width="17.5703125" style="1" customWidth="1"/>
    <col min="5" max="5" width="11" style="1" customWidth="1"/>
    <col min="6" max="6" width="17.5703125" style="1" customWidth="1"/>
    <col min="7" max="7" width="11" style="1" customWidth="1"/>
    <col min="8" max="8" width="17.5703125" style="1" customWidth="1"/>
    <col min="9" max="9" width="37.85546875" style="1" customWidth="1"/>
    <col min="10" max="10" width="20.7109375" style="1" customWidth="1"/>
    <col min="11" max="11" width="11" style="1" customWidth="1"/>
    <col min="12" max="12" width="20.5703125" style="1" customWidth="1"/>
    <col min="13" max="13" width="11.140625" style="1" customWidth="1"/>
    <col min="14" max="14" width="20.7109375" style="1" customWidth="1"/>
    <col min="15" max="15" width="11" style="1" customWidth="1"/>
    <col min="16" max="16" width="20.7109375" style="1" customWidth="1"/>
    <col min="17" max="18" width="11" style="1" customWidth="1"/>
    <col min="19" max="19" width="17.5703125" style="1" customWidth="1"/>
    <col min="20" max="20" width="11" style="1" customWidth="1"/>
    <col min="21" max="21" width="9.140625" style="1"/>
    <col min="22" max="22" width="15" style="1" customWidth="1"/>
    <col min="23" max="23" width="10.7109375" style="1" customWidth="1"/>
    <col min="24" max="26" width="9.140625" style="1"/>
  </cols>
  <sheetData>
    <row r="1" spans="1:28" ht="57" customHeight="1" x14ac:dyDescent="0.2">
      <c r="A1" s="159" t="s">
        <v>131</v>
      </c>
      <c r="B1" s="158" t="s">
        <v>123</v>
      </c>
      <c r="C1" s="158" t="s">
        <v>124</v>
      </c>
      <c r="D1" s="158" t="s">
        <v>196</v>
      </c>
      <c r="E1" s="236" t="s">
        <v>314</v>
      </c>
      <c r="F1" s="236"/>
      <c r="M1" s="176" t="s">
        <v>140</v>
      </c>
      <c r="N1" s="176" t="s">
        <v>141</v>
      </c>
      <c r="P1" s="344" t="s">
        <v>142</v>
      </c>
      <c r="Q1" s="344" t="s">
        <v>143</v>
      </c>
      <c r="R1" s="344" t="s">
        <v>144</v>
      </c>
      <c r="S1" s="344" t="s">
        <v>145</v>
      </c>
      <c r="T1" s="344" t="s">
        <v>146</v>
      </c>
      <c r="U1" s="344" t="s">
        <v>147</v>
      </c>
      <c r="W1" s="344" t="s">
        <v>142</v>
      </c>
      <c r="X1" s="344" t="s">
        <v>143</v>
      </c>
      <c r="Y1" s="344" t="s">
        <v>144</v>
      </c>
      <c r="Z1" s="344" t="s">
        <v>145</v>
      </c>
      <c r="AA1" s="344" t="s">
        <v>146</v>
      </c>
      <c r="AB1" s="344" t="s">
        <v>147</v>
      </c>
    </row>
    <row r="2" spans="1:28" ht="15.75" x14ac:dyDescent="0.25">
      <c r="A2" s="155" t="s">
        <v>27</v>
      </c>
      <c r="B2" s="238">
        <v>222</v>
      </c>
      <c r="C2" s="241">
        <f>SUM(B2/2204.62)*2000</f>
        <v>201.39525178942404</v>
      </c>
      <c r="D2" s="20">
        <f>SUM((C2/2000)*'Forage Insurance'!$C$26)</f>
        <v>151.04643884206803</v>
      </c>
      <c r="L2" s="13" t="s">
        <v>255</v>
      </c>
      <c r="AA2" s="1"/>
      <c r="AB2" s="1"/>
    </row>
    <row r="3" spans="1:28" ht="15.75" x14ac:dyDescent="0.25">
      <c r="A3" s="156" t="s">
        <v>33</v>
      </c>
      <c r="B3" s="239">
        <v>183</v>
      </c>
      <c r="C3" s="242">
        <f>SUM(B3/2204.62)*2000</f>
        <v>166.01500485344414</v>
      </c>
      <c r="D3" s="20">
        <f>SUM((C3/2000)*'Forage Insurance'!$C$26)</f>
        <v>124.51125364008311</v>
      </c>
      <c r="L3" s="1" t="s">
        <v>250</v>
      </c>
      <c r="M3" s="165">
        <v>35</v>
      </c>
      <c r="N3" s="165">
        <v>40</v>
      </c>
      <c r="O3" s="1">
        <v>1</v>
      </c>
      <c r="P3" s="589">
        <v>2</v>
      </c>
      <c r="Q3" s="589">
        <v>2</v>
      </c>
      <c r="R3" s="589">
        <v>2.02</v>
      </c>
      <c r="S3" s="589">
        <v>1.95</v>
      </c>
      <c r="T3" s="589">
        <v>1.95</v>
      </c>
      <c r="U3" s="589">
        <v>2.1</v>
      </c>
      <c r="W3" s="589">
        <v>1.32</v>
      </c>
      <c r="X3" s="589">
        <v>1.32</v>
      </c>
      <c r="Y3" s="589">
        <v>1.34</v>
      </c>
      <c r="Z3" s="589">
        <v>1.29</v>
      </c>
      <c r="AA3" s="589">
        <v>1.29</v>
      </c>
      <c r="AB3" s="589">
        <v>1.39</v>
      </c>
    </row>
    <row r="4" spans="1:28" ht="15.75" x14ac:dyDescent="0.25">
      <c r="A4" s="8" t="s">
        <v>113</v>
      </c>
      <c r="B4" s="169"/>
      <c r="C4" s="239">
        <v>132.49</v>
      </c>
      <c r="D4" s="20">
        <f>SUM((C4/2000)*'Forage Insurance'!$C$26)</f>
        <v>99.367499999999993</v>
      </c>
      <c r="L4" s="1" t="s">
        <v>251</v>
      </c>
      <c r="M4" s="165">
        <v>35</v>
      </c>
      <c r="N4" s="165">
        <v>40</v>
      </c>
      <c r="O4" s="1">
        <v>1</v>
      </c>
      <c r="P4" s="588">
        <f>P3</f>
        <v>2</v>
      </c>
      <c r="Q4" s="588">
        <f t="shared" ref="Q4:U4" si="0">Q3</f>
        <v>2</v>
      </c>
      <c r="R4" s="588">
        <f t="shared" si="0"/>
        <v>2.02</v>
      </c>
      <c r="S4" s="588">
        <f t="shared" si="0"/>
        <v>1.95</v>
      </c>
      <c r="T4" s="588">
        <f t="shared" si="0"/>
        <v>1.95</v>
      </c>
      <c r="U4" s="588">
        <f t="shared" si="0"/>
        <v>2.1</v>
      </c>
      <c r="W4" s="588">
        <f>W3</f>
        <v>1.32</v>
      </c>
      <c r="X4" s="588">
        <f t="shared" ref="X4:AB4" si="1">X3</f>
        <v>1.32</v>
      </c>
      <c r="Y4" s="588">
        <f t="shared" si="1"/>
        <v>1.34</v>
      </c>
      <c r="Z4" s="588">
        <f t="shared" si="1"/>
        <v>1.29</v>
      </c>
      <c r="AA4" s="588">
        <f t="shared" si="1"/>
        <v>1.29</v>
      </c>
      <c r="AB4" s="588">
        <f t="shared" si="1"/>
        <v>1.39</v>
      </c>
    </row>
    <row r="5" spans="1:28" ht="15.75" x14ac:dyDescent="0.25">
      <c r="A5" s="8" t="s">
        <v>171</v>
      </c>
      <c r="B5" s="169"/>
      <c r="C5" s="239">
        <v>88.02</v>
      </c>
      <c r="D5" s="20">
        <f>SUM((C5/2000)*'Forage Insurance'!$C$26)</f>
        <v>66.015000000000001</v>
      </c>
      <c r="L5" s="1" t="s">
        <v>252</v>
      </c>
      <c r="M5" s="165">
        <v>35</v>
      </c>
      <c r="N5" s="165">
        <v>40</v>
      </c>
      <c r="O5" s="1">
        <v>1</v>
      </c>
      <c r="P5" s="588">
        <f>P3</f>
        <v>2</v>
      </c>
      <c r="Q5" s="588">
        <f t="shared" ref="Q5:U5" si="2">Q3</f>
        <v>2</v>
      </c>
      <c r="R5" s="588">
        <f t="shared" si="2"/>
        <v>2.02</v>
      </c>
      <c r="S5" s="588">
        <f t="shared" si="2"/>
        <v>1.95</v>
      </c>
      <c r="T5" s="588">
        <f t="shared" si="2"/>
        <v>1.95</v>
      </c>
      <c r="U5" s="588">
        <f t="shared" si="2"/>
        <v>2.1</v>
      </c>
      <c r="W5" s="588">
        <f>W3</f>
        <v>1.32</v>
      </c>
      <c r="X5" s="588">
        <f t="shared" ref="X5:AB5" si="3">X3</f>
        <v>1.32</v>
      </c>
      <c r="Y5" s="588">
        <f t="shared" si="3"/>
        <v>1.34</v>
      </c>
      <c r="Z5" s="588">
        <f t="shared" si="3"/>
        <v>1.29</v>
      </c>
      <c r="AA5" s="588">
        <f t="shared" si="3"/>
        <v>1.29</v>
      </c>
      <c r="AB5" s="588">
        <f t="shared" si="3"/>
        <v>1.39</v>
      </c>
    </row>
    <row r="6" spans="1:28" ht="15.75" x14ac:dyDescent="0.25">
      <c r="A6" s="8"/>
      <c r="B6" s="169"/>
      <c r="C6" s="18"/>
      <c r="D6" s="18"/>
      <c r="L6" s="1" t="s">
        <v>253</v>
      </c>
      <c r="M6" s="165">
        <v>17.5</v>
      </c>
      <c r="N6" s="165">
        <v>20</v>
      </c>
      <c r="O6" s="1">
        <v>2</v>
      </c>
      <c r="P6" s="589">
        <v>1</v>
      </c>
      <c r="Q6" s="589">
        <v>1</v>
      </c>
      <c r="R6" s="589">
        <v>1.01</v>
      </c>
      <c r="S6" s="589">
        <v>0.98</v>
      </c>
      <c r="T6" s="589">
        <v>0.98</v>
      </c>
      <c r="U6" s="589">
        <v>1.05</v>
      </c>
      <c r="W6" s="589">
        <v>0.66</v>
      </c>
      <c r="X6" s="589">
        <v>0.66</v>
      </c>
      <c r="Y6" s="589">
        <v>0.67</v>
      </c>
      <c r="Z6" s="589">
        <v>0.65</v>
      </c>
      <c r="AA6" s="589">
        <v>0.65</v>
      </c>
      <c r="AB6" s="589">
        <v>0.69</v>
      </c>
    </row>
    <row r="7" spans="1:28" ht="15.75" x14ac:dyDescent="0.25">
      <c r="L7" s="1" t="s">
        <v>254</v>
      </c>
      <c r="M7" s="165">
        <v>17.5</v>
      </c>
      <c r="N7" s="165">
        <v>20</v>
      </c>
      <c r="O7" s="1">
        <v>2</v>
      </c>
      <c r="P7" s="588">
        <f>P6</f>
        <v>1</v>
      </c>
      <c r="Q7" s="588">
        <f t="shared" ref="Q7:U7" si="4">Q6</f>
        <v>1</v>
      </c>
      <c r="R7" s="588">
        <f t="shared" si="4"/>
        <v>1.01</v>
      </c>
      <c r="S7" s="588">
        <f t="shared" si="4"/>
        <v>0.98</v>
      </c>
      <c r="T7" s="588">
        <f t="shared" si="4"/>
        <v>0.98</v>
      </c>
      <c r="U7" s="588">
        <f t="shared" si="4"/>
        <v>1.05</v>
      </c>
      <c r="W7" s="588">
        <f>W6</f>
        <v>0.66</v>
      </c>
      <c r="X7" s="588">
        <f t="shared" ref="X7:AB7" si="5">X6</f>
        <v>0.66</v>
      </c>
      <c r="Y7" s="588">
        <f t="shared" si="5"/>
        <v>0.67</v>
      </c>
      <c r="Z7" s="588">
        <f t="shared" si="5"/>
        <v>0.65</v>
      </c>
      <c r="AA7" s="588">
        <f t="shared" si="5"/>
        <v>0.65</v>
      </c>
      <c r="AB7" s="588">
        <f t="shared" si="5"/>
        <v>0.69</v>
      </c>
    </row>
    <row r="8" spans="1:28" ht="45.75" x14ac:dyDescent="0.25">
      <c r="A8" s="159" t="s">
        <v>132</v>
      </c>
      <c r="B8" s="158" t="s">
        <v>123</v>
      </c>
      <c r="C8" s="158" t="s">
        <v>124</v>
      </c>
      <c r="H8" s="345" t="s">
        <v>129</v>
      </c>
      <c r="I8" s="346" t="s">
        <v>210</v>
      </c>
      <c r="L8" s="13" t="s">
        <v>256</v>
      </c>
      <c r="M8" s="165">
        <v>7</v>
      </c>
      <c r="N8" s="165">
        <v>8</v>
      </c>
      <c r="O8" s="1">
        <v>5</v>
      </c>
      <c r="P8" s="589">
        <v>0.4</v>
      </c>
      <c r="Q8" s="589">
        <v>0.4</v>
      </c>
      <c r="R8" s="589">
        <v>0.41</v>
      </c>
      <c r="S8" s="589">
        <v>0.39</v>
      </c>
      <c r="T8" s="589">
        <v>0.39</v>
      </c>
      <c r="U8" s="589">
        <v>0.42</v>
      </c>
      <c r="W8" s="589">
        <v>0.26</v>
      </c>
      <c r="X8" s="589">
        <v>0.26</v>
      </c>
      <c r="Y8" s="589">
        <v>0.27</v>
      </c>
      <c r="Z8" s="589">
        <v>0.26</v>
      </c>
      <c r="AA8" s="589">
        <v>0.26</v>
      </c>
      <c r="AB8" s="589">
        <v>0.28000000000000003</v>
      </c>
    </row>
    <row r="9" spans="1:28" ht="15.75" x14ac:dyDescent="0.25">
      <c r="A9" s="155" t="s">
        <v>133</v>
      </c>
      <c r="B9" s="223">
        <v>67</v>
      </c>
      <c r="C9" s="241">
        <f>SUM(B9/2204.62)*2000</f>
        <v>60.781449864375723</v>
      </c>
      <c r="D9" s="20">
        <f>SUM((C9/2000)*'Forage Insurance'!$C$26)</f>
        <v>45.586087398281791</v>
      </c>
      <c r="F9" s="1" t="str">
        <f>"Low - $"&amp;B9&amp;"/tonne"</f>
        <v>Low - $67/tonne</v>
      </c>
      <c r="H9" s="180" t="s">
        <v>142</v>
      </c>
      <c r="I9" s="347">
        <v>2</v>
      </c>
      <c r="L9" s="13" t="s">
        <v>257</v>
      </c>
      <c r="M9" s="165">
        <v>35</v>
      </c>
      <c r="N9" s="165">
        <v>40</v>
      </c>
      <c r="O9" s="1">
        <v>1</v>
      </c>
      <c r="P9" s="588">
        <f>P3</f>
        <v>2</v>
      </c>
      <c r="Q9" s="588">
        <f t="shared" ref="Q9:U9" si="6">Q3</f>
        <v>2</v>
      </c>
      <c r="R9" s="588">
        <f t="shared" si="6"/>
        <v>2.02</v>
      </c>
      <c r="S9" s="588">
        <f t="shared" si="6"/>
        <v>1.95</v>
      </c>
      <c r="T9" s="588">
        <f t="shared" si="6"/>
        <v>1.95</v>
      </c>
      <c r="U9" s="588">
        <f t="shared" si="6"/>
        <v>2.1</v>
      </c>
      <c r="W9" s="588">
        <f>W3</f>
        <v>1.32</v>
      </c>
      <c r="X9" s="588">
        <f t="shared" ref="X9:AB9" si="7">X3</f>
        <v>1.32</v>
      </c>
      <c r="Y9" s="588">
        <f t="shared" si="7"/>
        <v>1.34</v>
      </c>
      <c r="Z9" s="588">
        <f t="shared" si="7"/>
        <v>1.29</v>
      </c>
      <c r="AA9" s="588">
        <f t="shared" si="7"/>
        <v>1.29</v>
      </c>
      <c r="AB9" s="588">
        <f t="shared" si="7"/>
        <v>1.39</v>
      </c>
    </row>
    <row r="10" spans="1:28" ht="15.75" x14ac:dyDescent="0.25">
      <c r="A10" s="156" t="s">
        <v>134</v>
      </c>
      <c r="B10" s="222">
        <v>111</v>
      </c>
      <c r="C10" s="157">
        <f>SUM(B10/2204.62)*2000</f>
        <v>100.69762589471202</v>
      </c>
      <c r="D10" s="20">
        <f>SUM((C10/2000)*'Forage Insurance'!$C$26)</f>
        <v>75.523219421034014</v>
      </c>
      <c r="F10" s="1" t="str">
        <f>"High - $"&amp;B10&amp;"/tonne"</f>
        <v>High - $111/tonne</v>
      </c>
      <c r="H10" s="180" t="s">
        <v>143</v>
      </c>
      <c r="I10" s="347">
        <v>2</v>
      </c>
      <c r="L10" s="13" t="s">
        <v>258</v>
      </c>
      <c r="M10" s="165">
        <v>17.5</v>
      </c>
      <c r="N10" s="165">
        <v>20</v>
      </c>
      <c r="O10" s="1">
        <v>2</v>
      </c>
      <c r="P10" s="588">
        <f>P6</f>
        <v>1</v>
      </c>
      <c r="Q10" s="588">
        <f t="shared" ref="Q10:U10" si="8">Q6</f>
        <v>1</v>
      </c>
      <c r="R10" s="588">
        <f t="shared" si="8"/>
        <v>1.01</v>
      </c>
      <c r="S10" s="588">
        <f t="shared" si="8"/>
        <v>0.98</v>
      </c>
      <c r="T10" s="588">
        <f t="shared" si="8"/>
        <v>0.98</v>
      </c>
      <c r="U10" s="588">
        <f t="shared" si="8"/>
        <v>1.05</v>
      </c>
      <c r="W10" s="588">
        <f>W6</f>
        <v>0.66</v>
      </c>
      <c r="X10" s="588">
        <f t="shared" ref="X10:AB10" si="9">X6</f>
        <v>0.66</v>
      </c>
      <c r="Y10" s="588">
        <f t="shared" si="9"/>
        <v>0.67</v>
      </c>
      <c r="Z10" s="588">
        <f t="shared" si="9"/>
        <v>0.65</v>
      </c>
      <c r="AA10" s="588">
        <f t="shared" si="9"/>
        <v>0.65</v>
      </c>
      <c r="AB10" s="588">
        <f t="shared" si="9"/>
        <v>0.69</v>
      </c>
    </row>
    <row r="11" spans="1:28" ht="15.75" x14ac:dyDescent="0.25">
      <c r="A11" s="8" t="s">
        <v>180</v>
      </c>
      <c r="B11" s="237">
        <v>44</v>
      </c>
      <c r="C11" s="157">
        <f>SUM(B11/2204.62)*2000</f>
        <v>39.916176030336295</v>
      </c>
      <c r="D11" s="20">
        <f>SUM((C11/2000)*'Forage Insurance'!$C$26)</f>
        <v>29.93713202275222</v>
      </c>
      <c r="H11" s="180" t="s">
        <v>144</v>
      </c>
      <c r="I11" s="347">
        <v>2.02</v>
      </c>
      <c r="L11" s="13" t="s">
        <v>259</v>
      </c>
      <c r="M11" s="165">
        <v>7</v>
      </c>
      <c r="N11" s="165">
        <v>8</v>
      </c>
      <c r="O11" s="1">
        <v>5</v>
      </c>
      <c r="P11" s="588">
        <f>P8</f>
        <v>0.4</v>
      </c>
      <c r="Q11" s="588">
        <f t="shared" ref="Q11:U11" si="10">Q8</f>
        <v>0.4</v>
      </c>
      <c r="R11" s="588">
        <f t="shared" si="10"/>
        <v>0.41</v>
      </c>
      <c r="S11" s="588">
        <f t="shared" si="10"/>
        <v>0.39</v>
      </c>
      <c r="T11" s="588">
        <f t="shared" si="10"/>
        <v>0.39</v>
      </c>
      <c r="U11" s="588">
        <f t="shared" si="10"/>
        <v>0.42</v>
      </c>
      <c r="W11" s="588">
        <f>W8</f>
        <v>0.26</v>
      </c>
      <c r="X11" s="588">
        <f t="shared" ref="X11:AB11" si="11">X8</f>
        <v>0.26</v>
      </c>
      <c r="Y11" s="588">
        <f t="shared" si="11"/>
        <v>0.27</v>
      </c>
      <c r="Z11" s="588">
        <f t="shared" si="11"/>
        <v>0.26</v>
      </c>
      <c r="AA11" s="588">
        <f t="shared" si="11"/>
        <v>0.26</v>
      </c>
      <c r="AB11" s="588">
        <f t="shared" si="11"/>
        <v>0.28000000000000003</v>
      </c>
    </row>
    <row r="12" spans="1:28" ht="15.75" x14ac:dyDescent="0.25">
      <c r="F12" s="229"/>
      <c r="H12" s="180" t="s">
        <v>145</v>
      </c>
      <c r="I12" s="347">
        <v>1.95</v>
      </c>
      <c r="P12" s="627" t="s">
        <v>141</v>
      </c>
      <c r="Q12" s="627"/>
      <c r="R12" s="627"/>
      <c r="S12" s="627"/>
      <c r="T12" s="627"/>
      <c r="U12" s="627"/>
      <c r="W12" s="627" t="s">
        <v>140</v>
      </c>
      <c r="X12" s="627"/>
      <c r="Y12" s="627"/>
      <c r="Z12" s="627"/>
      <c r="AA12" s="627"/>
      <c r="AB12" s="627"/>
    </row>
    <row r="13" spans="1:28" ht="15.75" x14ac:dyDescent="0.25">
      <c r="C13" s="18" t="s">
        <v>166</v>
      </c>
      <c r="D13" s="18"/>
      <c r="F13" s="230">
        <v>0.7</v>
      </c>
      <c r="H13" s="180" t="s">
        <v>146</v>
      </c>
      <c r="I13" s="347">
        <v>1.95</v>
      </c>
    </row>
    <row r="14" spans="1:28" ht="15.75" x14ac:dyDescent="0.25">
      <c r="C14" s="18"/>
      <c r="D14" s="18"/>
      <c r="F14" s="230">
        <v>0.8</v>
      </c>
      <c r="H14" s="180" t="s">
        <v>147</v>
      </c>
      <c r="I14" s="347">
        <v>2.1</v>
      </c>
    </row>
    <row r="15" spans="1:28" x14ac:dyDescent="0.2">
      <c r="C15" s="18"/>
      <c r="D15" s="18"/>
    </row>
    <row r="16" spans="1:28" ht="15.75" x14ac:dyDescent="0.25">
      <c r="B16" s="168"/>
      <c r="C16" s="18"/>
      <c r="D16" s="18"/>
    </row>
    <row r="17" spans="1:23" ht="15.75" thickBot="1" x14ac:dyDescent="0.25"/>
    <row r="18" spans="1:23" ht="15.75" x14ac:dyDescent="0.25">
      <c r="A18" s="160"/>
      <c r="B18" s="628" t="s">
        <v>130</v>
      </c>
      <c r="C18" s="629"/>
      <c r="D18" s="629"/>
      <c r="E18" s="629"/>
      <c r="F18" s="629"/>
      <c r="G18" s="629"/>
      <c r="H18" s="629"/>
      <c r="I18" s="630"/>
      <c r="J18" s="612" t="str">
        <f>"Basic Hay Low - $"&amp;$B$9&amp;"/tonne"</f>
        <v>Basic Hay Low - $67/tonne</v>
      </c>
      <c r="K18" s="613"/>
      <c r="L18" s="613"/>
      <c r="M18" s="613"/>
      <c r="N18" s="613"/>
      <c r="O18" s="613"/>
      <c r="P18" s="613"/>
      <c r="Q18" s="614"/>
      <c r="R18" s="621" t="s">
        <v>113</v>
      </c>
      <c r="S18" s="622"/>
      <c r="T18" s="623"/>
      <c r="U18" s="615" t="s">
        <v>169</v>
      </c>
      <c r="V18" s="616"/>
      <c r="W18" s="617"/>
    </row>
    <row r="19" spans="1:23" x14ac:dyDescent="0.2">
      <c r="A19" s="207"/>
      <c r="B19" s="608" t="s">
        <v>27</v>
      </c>
      <c r="C19" s="609"/>
      <c r="D19" s="610" t="s">
        <v>27</v>
      </c>
      <c r="E19" s="609"/>
      <c r="F19" s="610" t="s">
        <v>33</v>
      </c>
      <c r="G19" s="609"/>
      <c r="H19" s="610" t="s">
        <v>33</v>
      </c>
      <c r="I19" s="611"/>
      <c r="J19" s="608" t="s">
        <v>27</v>
      </c>
      <c r="K19" s="609"/>
      <c r="L19" s="610" t="s">
        <v>27</v>
      </c>
      <c r="M19" s="609"/>
      <c r="N19" s="610" t="s">
        <v>33</v>
      </c>
      <c r="O19" s="609"/>
      <c r="P19" s="610" t="s">
        <v>33</v>
      </c>
      <c r="Q19" s="611"/>
      <c r="R19" s="624" t="s">
        <v>148</v>
      </c>
      <c r="S19" s="625"/>
      <c r="T19" s="626"/>
      <c r="U19" s="618" t="s">
        <v>148</v>
      </c>
      <c r="V19" s="619"/>
      <c r="W19" s="620"/>
    </row>
    <row r="20" spans="1:23" x14ac:dyDescent="0.2">
      <c r="A20" s="207"/>
      <c r="B20" s="608" t="s">
        <v>127</v>
      </c>
      <c r="C20" s="609"/>
      <c r="D20" s="610" t="s">
        <v>128</v>
      </c>
      <c r="E20" s="609"/>
      <c r="F20" s="610" t="s">
        <v>127</v>
      </c>
      <c r="G20" s="609"/>
      <c r="H20" s="610" t="s">
        <v>128</v>
      </c>
      <c r="I20" s="611"/>
      <c r="J20" s="608" t="s">
        <v>127</v>
      </c>
      <c r="K20" s="609"/>
      <c r="L20" s="610" t="s">
        <v>128</v>
      </c>
      <c r="M20" s="609"/>
      <c r="N20" s="610" t="s">
        <v>127</v>
      </c>
      <c r="O20" s="609"/>
      <c r="P20" s="610" t="s">
        <v>128</v>
      </c>
      <c r="Q20" s="611"/>
      <c r="R20" s="151"/>
      <c r="S20" s="8"/>
      <c r="T20" s="171">
        <v>0.8</v>
      </c>
      <c r="U20" s="179"/>
      <c r="V20" s="180"/>
      <c r="W20" s="181">
        <v>0.8</v>
      </c>
    </row>
    <row r="21" spans="1:23" ht="36" customHeight="1" x14ac:dyDescent="0.25">
      <c r="A21" s="208" t="s">
        <v>129</v>
      </c>
      <c r="B21" s="210" t="s">
        <v>125</v>
      </c>
      <c r="C21" s="153" t="s">
        <v>126</v>
      </c>
      <c r="D21" s="152" t="s">
        <v>125</v>
      </c>
      <c r="E21" s="153" t="s">
        <v>126</v>
      </c>
      <c r="F21" s="152" t="s">
        <v>125</v>
      </c>
      <c r="G21" s="153" t="s">
        <v>126</v>
      </c>
      <c r="H21" s="152" t="s">
        <v>125</v>
      </c>
      <c r="I21" s="211" t="s">
        <v>126</v>
      </c>
      <c r="J21" s="210" t="s">
        <v>125</v>
      </c>
      <c r="K21" s="153" t="s">
        <v>126</v>
      </c>
      <c r="L21" s="152" t="s">
        <v>125</v>
      </c>
      <c r="M21" s="153" t="s">
        <v>126</v>
      </c>
      <c r="N21" s="152" t="s">
        <v>125</v>
      </c>
      <c r="O21" s="153" t="s">
        <v>126</v>
      </c>
      <c r="P21" s="152" t="s">
        <v>125</v>
      </c>
      <c r="Q21" s="211" t="s">
        <v>126</v>
      </c>
      <c r="R21" s="152" t="s">
        <v>150</v>
      </c>
      <c r="S21" s="170" t="s">
        <v>149</v>
      </c>
      <c r="T21" s="153" t="s">
        <v>126</v>
      </c>
      <c r="U21" s="182" t="s">
        <v>150</v>
      </c>
      <c r="V21" s="183" t="s">
        <v>149</v>
      </c>
      <c r="W21" s="184" t="s">
        <v>126</v>
      </c>
    </row>
    <row r="22" spans="1:23" ht="15.75" x14ac:dyDescent="0.25">
      <c r="A22" s="151">
        <v>1</v>
      </c>
      <c r="B22" s="234">
        <v>2.1040000000000001</v>
      </c>
      <c r="C22" s="221">
        <v>13.51</v>
      </c>
      <c r="D22" s="235">
        <v>1.474</v>
      </c>
      <c r="E22" s="154">
        <f t="shared" ref="E22:E27" si="12">C22</f>
        <v>13.51</v>
      </c>
      <c r="F22" s="235">
        <v>1.8680000000000001</v>
      </c>
      <c r="G22" s="221">
        <v>9.2799999999999994</v>
      </c>
      <c r="H22" s="235">
        <v>1.2609999999999999</v>
      </c>
      <c r="I22" s="212">
        <f t="shared" ref="I22:I27" si="13">G22</f>
        <v>9.2799999999999994</v>
      </c>
      <c r="J22" s="584">
        <v>1.341</v>
      </c>
      <c r="K22" s="221">
        <v>3.91</v>
      </c>
      <c r="L22" s="224">
        <f>J22</f>
        <v>1.341</v>
      </c>
      <c r="M22" s="154">
        <f t="shared" ref="M22:M27" si="14">K22</f>
        <v>3.91</v>
      </c>
      <c r="N22" s="224">
        <f>J22</f>
        <v>1.341</v>
      </c>
      <c r="O22" s="154">
        <f>K22</f>
        <v>3.91</v>
      </c>
      <c r="P22" s="224">
        <f>J22</f>
        <v>1.341</v>
      </c>
      <c r="Q22" s="212">
        <f t="shared" ref="Q22:Q27" si="15">O22</f>
        <v>3.91</v>
      </c>
      <c r="R22" s="203">
        <v>1</v>
      </c>
      <c r="S22" s="590">
        <v>2.2000000000000002</v>
      </c>
      <c r="T22" s="591">
        <v>21.55</v>
      </c>
      <c r="U22" s="204">
        <v>1</v>
      </c>
      <c r="V22" s="590">
        <v>13.9</v>
      </c>
      <c r="W22" s="591">
        <v>33.409999999999997</v>
      </c>
    </row>
    <row r="23" spans="1:23" ht="15.75" x14ac:dyDescent="0.25">
      <c r="A23" s="151">
        <v>2</v>
      </c>
      <c r="B23" s="234">
        <v>1.8959999999999999</v>
      </c>
      <c r="C23" s="221">
        <v>22.49</v>
      </c>
      <c r="D23" s="235">
        <v>1.363</v>
      </c>
      <c r="E23" s="154">
        <f t="shared" si="12"/>
        <v>22.49</v>
      </c>
      <c r="F23" s="235">
        <v>1.786</v>
      </c>
      <c r="G23" s="221">
        <v>16.48</v>
      </c>
      <c r="H23" s="235">
        <v>1.2090000000000001</v>
      </c>
      <c r="I23" s="212">
        <f t="shared" si="13"/>
        <v>16.48</v>
      </c>
      <c r="J23" s="584">
        <v>1.2509999999999999</v>
      </c>
      <c r="K23" s="221">
        <v>3.79</v>
      </c>
      <c r="L23" s="224">
        <f t="shared" ref="L23:L27" si="16">J23</f>
        <v>1.2509999999999999</v>
      </c>
      <c r="M23" s="154">
        <f t="shared" si="14"/>
        <v>3.79</v>
      </c>
      <c r="N23" s="224">
        <f t="shared" ref="N23:N27" si="17">J23</f>
        <v>1.2509999999999999</v>
      </c>
      <c r="O23" s="154">
        <f t="shared" ref="O23:O27" si="18">K23</f>
        <v>3.79</v>
      </c>
      <c r="P23" s="224">
        <f t="shared" ref="P23:P27" si="19">J23</f>
        <v>1.2509999999999999</v>
      </c>
      <c r="Q23" s="212">
        <f t="shared" si="15"/>
        <v>3.79</v>
      </c>
      <c r="R23" s="172">
        <v>2</v>
      </c>
      <c r="S23" s="590">
        <v>2.2000000000000002</v>
      </c>
      <c r="T23" s="221">
        <v>24.1</v>
      </c>
      <c r="U23" s="185">
        <v>2</v>
      </c>
      <c r="V23" s="590">
        <v>13.9</v>
      </c>
      <c r="W23" s="221">
        <v>34.22</v>
      </c>
    </row>
    <row r="24" spans="1:23" ht="15.75" x14ac:dyDescent="0.25">
      <c r="A24" s="151">
        <v>3</v>
      </c>
      <c r="B24" s="234">
        <v>1.847</v>
      </c>
      <c r="C24" s="221">
        <v>18.88</v>
      </c>
      <c r="D24" s="235">
        <v>1.599</v>
      </c>
      <c r="E24" s="154">
        <f t="shared" si="12"/>
        <v>18.88</v>
      </c>
      <c r="F24" s="235">
        <v>1.7869999999999999</v>
      </c>
      <c r="G24" s="221">
        <v>13.8</v>
      </c>
      <c r="H24" s="235">
        <v>1.323</v>
      </c>
      <c r="I24" s="212">
        <f t="shared" si="13"/>
        <v>13.8</v>
      </c>
      <c r="J24" s="584">
        <v>1.3109999999999999</v>
      </c>
      <c r="K24" s="221">
        <v>5.23</v>
      </c>
      <c r="L24" s="224">
        <f t="shared" si="16"/>
        <v>1.3109999999999999</v>
      </c>
      <c r="M24" s="154">
        <f t="shared" si="14"/>
        <v>5.23</v>
      </c>
      <c r="N24" s="224">
        <f t="shared" si="17"/>
        <v>1.3109999999999999</v>
      </c>
      <c r="O24" s="154">
        <f t="shared" si="18"/>
        <v>5.23</v>
      </c>
      <c r="P24" s="224">
        <f t="shared" si="19"/>
        <v>1.3109999999999999</v>
      </c>
      <c r="Q24" s="212">
        <f t="shared" si="15"/>
        <v>5.23</v>
      </c>
      <c r="R24" s="172">
        <v>3</v>
      </c>
      <c r="S24" s="590">
        <v>2.2000000000000002</v>
      </c>
      <c r="T24" s="221">
        <v>23.61</v>
      </c>
      <c r="U24" s="185">
        <v>3</v>
      </c>
      <c r="V24" s="590">
        <v>13.9</v>
      </c>
      <c r="W24" s="221">
        <v>34.619999999999997</v>
      </c>
    </row>
    <row r="25" spans="1:23" ht="15.75" x14ac:dyDescent="0.25">
      <c r="A25" s="151">
        <v>4</v>
      </c>
      <c r="B25" s="234">
        <v>2.177</v>
      </c>
      <c r="C25" s="221">
        <v>15.44</v>
      </c>
      <c r="D25" s="235">
        <v>1.5960000000000001</v>
      </c>
      <c r="E25" s="154">
        <f t="shared" si="12"/>
        <v>15.44</v>
      </c>
      <c r="F25" s="235">
        <v>1.8049999999999999</v>
      </c>
      <c r="G25" s="221">
        <v>12.88</v>
      </c>
      <c r="H25" s="235">
        <v>1.278</v>
      </c>
      <c r="I25" s="212">
        <f t="shared" si="13"/>
        <v>12.88</v>
      </c>
      <c r="J25" s="584">
        <v>1.371</v>
      </c>
      <c r="K25" s="221">
        <v>4.4800000000000004</v>
      </c>
      <c r="L25" s="224">
        <f t="shared" si="16"/>
        <v>1.371</v>
      </c>
      <c r="M25" s="154">
        <f t="shared" si="14"/>
        <v>4.4800000000000004</v>
      </c>
      <c r="N25" s="224">
        <f t="shared" si="17"/>
        <v>1.371</v>
      </c>
      <c r="O25" s="154">
        <f t="shared" si="18"/>
        <v>4.4800000000000004</v>
      </c>
      <c r="P25" s="224">
        <f t="shared" si="19"/>
        <v>1.371</v>
      </c>
      <c r="Q25" s="212">
        <f t="shared" si="15"/>
        <v>4.4800000000000004</v>
      </c>
      <c r="R25" s="172">
        <v>4</v>
      </c>
      <c r="S25" s="590">
        <v>2.2000000000000002</v>
      </c>
      <c r="T25" s="221">
        <v>25.6</v>
      </c>
      <c r="U25" s="185">
        <v>4</v>
      </c>
      <c r="V25" s="590">
        <v>13.9</v>
      </c>
      <c r="W25" s="221">
        <v>35.020000000000003</v>
      </c>
    </row>
    <row r="26" spans="1:23" ht="15.75" x14ac:dyDescent="0.25">
      <c r="A26" s="151">
        <v>5</v>
      </c>
      <c r="B26" s="234">
        <v>2.6509999999999998</v>
      </c>
      <c r="C26" s="221">
        <v>17.11</v>
      </c>
      <c r="D26" s="235">
        <v>1.93</v>
      </c>
      <c r="E26" s="154">
        <f t="shared" si="12"/>
        <v>17.11</v>
      </c>
      <c r="F26" s="235">
        <v>2.089</v>
      </c>
      <c r="G26" s="221">
        <v>20.96</v>
      </c>
      <c r="H26" s="235">
        <v>1.4490000000000001</v>
      </c>
      <c r="I26" s="212">
        <f t="shared" si="13"/>
        <v>20.96</v>
      </c>
      <c r="J26" s="584">
        <v>1.6240000000000001</v>
      </c>
      <c r="K26" s="221">
        <v>6.11</v>
      </c>
      <c r="L26" s="224">
        <f t="shared" si="16"/>
        <v>1.6240000000000001</v>
      </c>
      <c r="M26" s="154">
        <f t="shared" si="14"/>
        <v>6.11</v>
      </c>
      <c r="N26" s="224">
        <f t="shared" si="17"/>
        <v>1.6240000000000001</v>
      </c>
      <c r="O26" s="154">
        <f t="shared" si="18"/>
        <v>6.11</v>
      </c>
      <c r="P26" s="224">
        <f t="shared" si="19"/>
        <v>1.6240000000000001</v>
      </c>
      <c r="Q26" s="212">
        <f t="shared" si="15"/>
        <v>6.11</v>
      </c>
      <c r="R26" s="172">
        <v>5</v>
      </c>
      <c r="S26" s="590">
        <v>2.2000000000000002</v>
      </c>
      <c r="T26" s="221">
        <v>23.52</v>
      </c>
      <c r="U26" s="185">
        <v>5</v>
      </c>
      <c r="V26" s="590">
        <v>13.9</v>
      </c>
      <c r="W26" s="221">
        <v>34.22</v>
      </c>
    </row>
    <row r="27" spans="1:23" ht="16.5" thickBot="1" x14ac:dyDescent="0.3">
      <c r="A27" s="209">
        <v>6</v>
      </c>
      <c r="B27" s="585">
        <v>2.173</v>
      </c>
      <c r="C27" s="586">
        <v>28.64</v>
      </c>
      <c r="D27" s="587">
        <v>1.5509999999999999</v>
      </c>
      <c r="E27" s="213">
        <f t="shared" si="12"/>
        <v>28.64</v>
      </c>
      <c r="F27" s="587">
        <v>1.883</v>
      </c>
      <c r="G27" s="586">
        <v>17.78</v>
      </c>
      <c r="H27" s="587">
        <v>1.1830000000000001</v>
      </c>
      <c r="I27" s="214">
        <f t="shared" si="13"/>
        <v>17.78</v>
      </c>
      <c r="J27" s="585">
        <v>1.3580000000000001</v>
      </c>
      <c r="K27" s="586">
        <v>5.28</v>
      </c>
      <c r="L27" s="227">
        <f t="shared" si="16"/>
        <v>1.3580000000000001</v>
      </c>
      <c r="M27" s="213">
        <f t="shared" si="14"/>
        <v>5.28</v>
      </c>
      <c r="N27" s="227">
        <f t="shared" si="17"/>
        <v>1.3580000000000001</v>
      </c>
      <c r="O27" s="213">
        <f t="shared" si="18"/>
        <v>5.28</v>
      </c>
      <c r="P27" s="227">
        <f t="shared" si="19"/>
        <v>1.3580000000000001</v>
      </c>
      <c r="Q27" s="214">
        <f t="shared" si="15"/>
        <v>5.28</v>
      </c>
      <c r="R27" s="172">
        <v>6</v>
      </c>
      <c r="S27" s="590">
        <v>2.2000000000000002</v>
      </c>
      <c r="T27" s="221">
        <v>23.27</v>
      </c>
      <c r="U27" s="185">
        <v>6</v>
      </c>
      <c r="V27" s="590">
        <v>13.9</v>
      </c>
      <c r="W27" s="221">
        <v>35.020000000000003</v>
      </c>
    </row>
    <row r="28" spans="1:23" ht="16.5" thickBot="1" x14ac:dyDescent="0.3">
      <c r="R28" s="173">
        <v>7</v>
      </c>
      <c r="S28" s="590">
        <v>2.2000000000000002</v>
      </c>
      <c r="T28" s="221">
        <v>22.75</v>
      </c>
      <c r="U28" s="186">
        <v>7</v>
      </c>
      <c r="V28" s="590">
        <v>13.9</v>
      </c>
      <c r="W28" s="221">
        <v>35.020000000000003</v>
      </c>
    </row>
    <row r="29" spans="1:23" ht="15.75" x14ac:dyDescent="0.25">
      <c r="A29" s="160"/>
      <c r="B29" s="631" t="s">
        <v>177</v>
      </c>
      <c r="C29" s="632"/>
      <c r="D29" s="632"/>
      <c r="E29" s="632"/>
      <c r="F29" s="632"/>
      <c r="G29" s="632"/>
      <c r="H29" s="632"/>
      <c r="I29" s="633"/>
      <c r="J29" s="612" t="str">
        <f>"Basic Hay High - $"&amp;$B$10&amp;"/tonne"</f>
        <v>Basic Hay High - $111/tonne</v>
      </c>
      <c r="K29" s="613"/>
      <c r="L29" s="613"/>
      <c r="M29" s="613"/>
      <c r="N29" s="613"/>
      <c r="O29" s="613"/>
      <c r="P29" s="613"/>
      <c r="Q29" s="614"/>
      <c r="R29" s="173">
        <v>8</v>
      </c>
      <c r="S29" s="590">
        <v>2.2000000000000002</v>
      </c>
      <c r="T29" s="221">
        <v>26.78</v>
      </c>
      <c r="U29" s="186">
        <v>8</v>
      </c>
      <c r="V29" s="590">
        <v>13.9</v>
      </c>
      <c r="W29" s="221">
        <v>33.409999999999997</v>
      </c>
    </row>
    <row r="30" spans="1:23" ht="15.75" x14ac:dyDescent="0.25">
      <c r="A30" s="207"/>
      <c r="B30" s="608" t="s">
        <v>27</v>
      </c>
      <c r="C30" s="609"/>
      <c r="D30" s="610" t="s">
        <v>27</v>
      </c>
      <c r="E30" s="609"/>
      <c r="F30" s="610" t="s">
        <v>33</v>
      </c>
      <c r="G30" s="609"/>
      <c r="H30" s="610" t="s">
        <v>33</v>
      </c>
      <c r="I30" s="611"/>
      <c r="J30" s="608" t="s">
        <v>27</v>
      </c>
      <c r="K30" s="609"/>
      <c r="L30" s="610" t="s">
        <v>27</v>
      </c>
      <c r="M30" s="609"/>
      <c r="N30" s="610" t="s">
        <v>33</v>
      </c>
      <c r="O30" s="609"/>
      <c r="P30" s="610" t="s">
        <v>33</v>
      </c>
      <c r="Q30" s="611"/>
      <c r="R30" s="173">
        <v>9</v>
      </c>
      <c r="S30" s="590">
        <v>2.2000000000000002</v>
      </c>
      <c r="T30" s="221">
        <v>22.77</v>
      </c>
      <c r="U30" s="186">
        <v>9</v>
      </c>
      <c r="V30" s="590">
        <v>13.9</v>
      </c>
      <c r="W30" s="221">
        <v>33.01</v>
      </c>
    </row>
    <row r="31" spans="1:23" ht="15.75" x14ac:dyDescent="0.25">
      <c r="A31" s="207"/>
      <c r="B31" s="608" t="s">
        <v>127</v>
      </c>
      <c r="C31" s="609"/>
      <c r="D31" s="610" t="s">
        <v>128</v>
      </c>
      <c r="E31" s="609"/>
      <c r="F31" s="610" t="s">
        <v>127</v>
      </c>
      <c r="G31" s="609"/>
      <c r="H31" s="610" t="s">
        <v>128</v>
      </c>
      <c r="I31" s="611"/>
      <c r="J31" s="608" t="s">
        <v>127</v>
      </c>
      <c r="K31" s="609"/>
      <c r="L31" s="610" t="s">
        <v>128</v>
      </c>
      <c r="M31" s="609"/>
      <c r="N31" s="610" t="s">
        <v>127</v>
      </c>
      <c r="O31" s="609"/>
      <c r="P31" s="610" t="s">
        <v>128</v>
      </c>
      <c r="Q31" s="611"/>
      <c r="R31" s="173">
        <v>10</v>
      </c>
      <c r="S31" s="590">
        <v>2.2000000000000002</v>
      </c>
      <c r="T31" s="221">
        <v>22.39</v>
      </c>
      <c r="U31" s="186">
        <v>10</v>
      </c>
      <c r="V31" s="590">
        <v>13.9</v>
      </c>
      <c r="W31" s="221">
        <v>34.22</v>
      </c>
    </row>
    <row r="32" spans="1:23" ht="15" customHeight="1" x14ac:dyDescent="0.25">
      <c r="A32" s="208" t="s">
        <v>129</v>
      </c>
      <c r="B32" s="210" t="s">
        <v>125</v>
      </c>
      <c r="C32" s="153" t="s">
        <v>126</v>
      </c>
      <c r="D32" s="152" t="s">
        <v>125</v>
      </c>
      <c r="E32" s="153" t="s">
        <v>126</v>
      </c>
      <c r="F32" s="152" t="s">
        <v>125</v>
      </c>
      <c r="G32" s="153" t="s">
        <v>126</v>
      </c>
      <c r="H32" s="152" t="s">
        <v>125</v>
      </c>
      <c r="I32" s="211" t="s">
        <v>126</v>
      </c>
      <c r="J32" s="210" t="s">
        <v>125</v>
      </c>
      <c r="K32" s="153" t="s">
        <v>126</v>
      </c>
      <c r="L32" s="152" t="s">
        <v>125</v>
      </c>
      <c r="M32" s="153" t="s">
        <v>126</v>
      </c>
      <c r="N32" s="152" t="s">
        <v>125</v>
      </c>
      <c r="O32" s="153" t="s">
        <v>126</v>
      </c>
      <c r="P32" s="152" t="s">
        <v>125</v>
      </c>
      <c r="Q32" s="211" t="s">
        <v>126</v>
      </c>
      <c r="R32" s="173">
        <v>11</v>
      </c>
      <c r="S32" s="590">
        <v>2.2000000000000002</v>
      </c>
      <c r="T32" s="221">
        <v>22.68</v>
      </c>
      <c r="U32" s="186">
        <v>11</v>
      </c>
      <c r="V32" s="590">
        <v>13.9</v>
      </c>
      <c r="W32" s="221">
        <v>33.409999999999997</v>
      </c>
    </row>
    <row r="33" spans="1:23" ht="15" customHeight="1" x14ac:dyDescent="0.25">
      <c r="A33" s="228">
        <v>1</v>
      </c>
      <c r="B33" s="215">
        <f t="shared" ref="B33:B38" si="20">B22</f>
        <v>2.1040000000000001</v>
      </c>
      <c r="C33" s="221">
        <v>9.09</v>
      </c>
      <c r="D33" s="215">
        <f t="shared" ref="D33:D38" si="21">D22</f>
        <v>1.474</v>
      </c>
      <c r="E33" s="154">
        <f t="shared" ref="E33:E38" si="22">C33</f>
        <v>9.09</v>
      </c>
      <c r="F33" s="215">
        <f t="shared" ref="F33:F38" si="23">F22</f>
        <v>1.8680000000000001</v>
      </c>
      <c r="G33" s="221">
        <v>6.18</v>
      </c>
      <c r="H33" s="215">
        <f t="shared" ref="H33:H38" si="24">H22</f>
        <v>1.2609999999999999</v>
      </c>
      <c r="I33" s="212">
        <f t="shared" ref="I33:I38" si="25">G33</f>
        <v>6.18</v>
      </c>
      <c r="J33" s="225">
        <f>J22</f>
        <v>1.341</v>
      </c>
      <c r="K33" s="221">
        <v>6.28</v>
      </c>
      <c r="L33" s="225">
        <f>L22</f>
        <v>1.341</v>
      </c>
      <c r="M33" s="154">
        <f t="shared" ref="M33:M38" si="26">K33</f>
        <v>6.28</v>
      </c>
      <c r="N33" s="225">
        <f t="shared" ref="N33:N38" si="27">N22</f>
        <v>1.341</v>
      </c>
      <c r="O33" s="154">
        <f>K33</f>
        <v>6.28</v>
      </c>
      <c r="P33" s="225">
        <f t="shared" ref="P33:P38" si="28">P22</f>
        <v>1.341</v>
      </c>
      <c r="Q33" s="212">
        <f t="shared" ref="Q33:Q38" si="29">O33</f>
        <v>6.28</v>
      </c>
      <c r="R33" s="173">
        <v>12</v>
      </c>
      <c r="S33" s="590">
        <v>2.2000000000000002</v>
      </c>
      <c r="T33" s="221">
        <v>21.18</v>
      </c>
      <c r="U33" s="186">
        <v>12</v>
      </c>
      <c r="V33" s="590">
        <v>13.9</v>
      </c>
      <c r="W33" s="221">
        <v>33.409999999999997</v>
      </c>
    </row>
    <row r="34" spans="1:23" ht="15" customHeight="1" x14ac:dyDescent="0.25">
      <c r="A34" s="228">
        <v>2</v>
      </c>
      <c r="B34" s="215">
        <f t="shared" si="20"/>
        <v>1.8959999999999999</v>
      </c>
      <c r="C34" s="221">
        <v>15.21</v>
      </c>
      <c r="D34" s="215">
        <f t="shared" si="21"/>
        <v>1.363</v>
      </c>
      <c r="E34" s="154">
        <f t="shared" si="22"/>
        <v>15.21</v>
      </c>
      <c r="F34" s="215">
        <f t="shared" si="23"/>
        <v>1.786</v>
      </c>
      <c r="G34" s="221">
        <v>11.36</v>
      </c>
      <c r="H34" s="215">
        <f t="shared" si="24"/>
        <v>1.2090000000000001</v>
      </c>
      <c r="I34" s="212">
        <f t="shared" si="25"/>
        <v>11.36</v>
      </c>
      <c r="J34" s="215">
        <f>J23</f>
        <v>1.2509999999999999</v>
      </c>
      <c r="K34" s="221">
        <v>6.1</v>
      </c>
      <c r="L34" s="225">
        <f>L23</f>
        <v>1.2509999999999999</v>
      </c>
      <c r="M34" s="154">
        <f t="shared" si="26"/>
        <v>6.1</v>
      </c>
      <c r="N34" s="225">
        <f t="shared" si="27"/>
        <v>1.2509999999999999</v>
      </c>
      <c r="O34" s="154">
        <f t="shared" ref="O34:O38" si="30">K34</f>
        <v>6.1</v>
      </c>
      <c r="P34" s="225">
        <f t="shared" si="28"/>
        <v>1.2509999999999999</v>
      </c>
      <c r="Q34" s="212">
        <f t="shared" si="29"/>
        <v>6.1</v>
      </c>
      <c r="R34" s="173">
        <v>14</v>
      </c>
      <c r="S34" s="590">
        <v>2.2000000000000002</v>
      </c>
      <c r="T34" s="221">
        <v>20.350000000000001</v>
      </c>
      <c r="U34" s="186">
        <v>14</v>
      </c>
      <c r="V34" s="590">
        <v>13.9</v>
      </c>
      <c r="W34" s="221">
        <v>34.22</v>
      </c>
    </row>
    <row r="35" spans="1:23" ht="15" customHeight="1" x14ac:dyDescent="0.25">
      <c r="A35" s="228">
        <v>3</v>
      </c>
      <c r="B35" s="215">
        <f t="shared" si="20"/>
        <v>1.847</v>
      </c>
      <c r="C35" s="221">
        <v>13.08</v>
      </c>
      <c r="D35" s="215">
        <f t="shared" si="21"/>
        <v>1.599</v>
      </c>
      <c r="E35" s="154">
        <f t="shared" si="22"/>
        <v>13.08</v>
      </c>
      <c r="F35" s="215">
        <f t="shared" si="23"/>
        <v>1.7869999999999999</v>
      </c>
      <c r="G35" s="221">
        <v>9.27</v>
      </c>
      <c r="H35" s="215">
        <f t="shared" si="24"/>
        <v>1.323</v>
      </c>
      <c r="I35" s="212">
        <f t="shared" si="25"/>
        <v>9.27</v>
      </c>
      <c r="J35" s="215">
        <f>J24</f>
        <v>1.3109999999999999</v>
      </c>
      <c r="K35" s="221">
        <v>8.41</v>
      </c>
      <c r="L35" s="225">
        <f>L24</f>
        <v>1.3109999999999999</v>
      </c>
      <c r="M35" s="154">
        <f t="shared" si="26"/>
        <v>8.41</v>
      </c>
      <c r="N35" s="225">
        <f t="shared" si="27"/>
        <v>1.3109999999999999</v>
      </c>
      <c r="O35" s="154">
        <f t="shared" si="30"/>
        <v>8.41</v>
      </c>
      <c r="P35" s="225">
        <f t="shared" si="28"/>
        <v>1.3109999999999999</v>
      </c>
      <c r="Q35" s="212">
        <f t="shared" si="29"/>
        <v>8.41</v>
      </c>
      <c r="R35" s="173">
        <v>15</v>
      </c>
      <c r="S35" s="590">
        <v>2.2000000000000002</v>
      </c>
      <c r="T35" s="221">
        <v>19.39</v>
      </c>
      <c r="U35" s="186">
        <v>15</v>
      </c>
      <c r="V35" s="590">
        <v>13.9</v>
      </c>
      <c r="W35" s="221">
        <v>31.81</v>
      </c>
    </row>
    <row r="36" spans="1:23" ht="15" customHeight="1" x14ac:dyDescent="0.25">
      <c r="A36" s="228">
        <v>4</v>
      </c>
      <c r="B36" s="215">
        <f t="shared" si="20"/>
        <v>2.177</v>
      </c>
      <c r="C36" s="221">
        <v>10.37</v>
      </c>
      <c r="D36" s="215">
        <f t="shared" si="21"/>
        <v>1.5960000000000001</v>
      </c>
      <c r="E36" s="154">
        <f t="shared" si="22"/>
        <v>10.37</v>
      </c>
      <c r="F36" s="215">
        <f t="shared" si="23"/>
        <v>1.8049999999999999</v>
      </c>
      <c r="G36" s="221">
        <v>8.6199999999999992</v>
      </c>
      <c r="H36" s="215">
        <f t="shared" si="24"/>
        <v>1.278</v>
      </c>
      <c r="I36" s="212">
        <f t="shared" si="25"/>
        <v>8.6199999999999992</v>
      </c>
      <c r="J36" s="215">
        <f t="shared" ref="J36:L38" si="31">J25</f>
        <v>1.371</v>
      </c>
      <c r="K36" s="221">
        <v>7.21</v>
      </c>
      <c r="L36" s="225">
        <f t="shared" si="31"/>
        <v>1.371</v>
      </c>
      <c r="M36" s="154">
        <f t="shared" si="26"/>
        <v>7.21</v>
      </c>
      <c r="N36" s="225">
        <f t="shared" si="27"/>
        <v>1.371</v>
      </c>
      <c r="O36" s="154">
        <f t="shared" si="30"/>
        <v>7.21</v>
      </c>
      <c r="P36" s="225">
        <f t="shared" si="28"/>
        <v>1.371</v>
      </c>
      <c r="Q36" s="212">
        <f t="shared" si="29"/>
        <v>7.21</v>
      </c>
      <c r="R36" s="205">
        <v>16</v>
      </c>
      <c r="S36" s="590">
        <v>2.2000000000000002</v>
      </c>
      <c r="T36" s="592">
        <v>18.13</v>
      </c>
      <c r="U36" s="187">
        <v>16</v>
      </c>
      <c r="V36" s="590">
        <v>13.9</v>
      </c>
      <c r="W36" s="221">
        <v>29.8</v>
      </c>
    </row>
    <row r="37" spans="1:23" ht="15.75" x14ac:dyDescent="0.25">
      <c r="A37" s="228">
        <v>5</v>
      </c>
      <c r="B37" s="215">
        <f t="shared" si="20"/>
        <v>2.6509999999999998</v>
      </c>
      <c r="C37" s="221">
        <v>11.76</v>
      </c>
      <c r="D37" s="215">
        <f t="shared" si="21"/>
        <v>1.93</v>
      </c>
      <c r="E37" s="154">
        <f t="shared" si="22"/>
        <v>11.76</v>
      </c>
      <c r="F37" s="215">
        <f t="shared" si="23"/>
        <v>2.089</v>
      </c>
      <c r="G37" s="221">
        <v>14.04</v>
      </c>
      <c r="H37" s="215">
        <f t="shared" si="24"/>
        <v>1.4490000000000001</v>
      </c>
      <c r="I37" s="212">
        <f t="shared" si="25"/>
        <v>14.04</v>
      </c>
      <c r="J37" s="215">
        <f t="shared" si="31"/>
        <v>1.6240000000000001</v>
      </c>
      <c r="K37" s="221">
        <v>9.82</v>
      </c>
      <c r="L37" s="225">
        <f t="shared" si="31"/>
        <v>1.6240000000000001</v>
      </c>
      <c r="M37" s="154">
        <f t="shared" si="26"/>
        <v>9.82</v>
      </c>
      <c r="N37" s="225">
        <f t="shared" si="27"/>
        <v>1.6240000000000001</v>
      </c>
      <c r="O37" s="154">
        <f t="shared" si="30"/>
        <v>9.82</v>
      </c>
      <c r="P37" s="225">
        <f t="shared" si="28"/>
        <v>1.6240000000000001</v>
      </c>
      <c r="Q37" s="212">
        <f t="shared" si="29"/>
        <v>9.82</v>
      </c>
    </row>
    <row r="38" spans="1:23" ht="16.5" thickBot="1" x14ac:dyDescent="0.3">
      <c r="A38" s="209">
        <v>6</v>
      </c>
      <c r="B38" s="216">
        <f t="shared" si="20"/>
        <v>2.173</v>
      </c>
      <c r="C38" s="586">
        <v>19.260000000000002</v>
      </c>
      <c r="D38" s="216">
        <f t="shared" si="21"/>
        <v>1.5509999999999999</v>
      </c>
      <c r="E38" s="213">
        <f t="shared" si="22"/>
        <v>19.260000000000002</v>
      </c>
      <c r="F38" s="216">
        <f t="shared" si="23"/>
        <v>1.883</v>
      </c>
      <c r="G38" s="586">
        <v>11.91</v>
      </c>
      <c r="H38" s="216">
        <f t="shared" si="24"/>
        <v>1.1830000000000001</v>
      </c>
      <c r="I38" s="214">
        <f t="shared" si="25"/>
        <v>11.91</v>
      </c>
      <c r="J38" s="216">
        <f t="shared" si="31"/>
        <v>1.3580000000000001</v>
      </c>
      <c r="K38" s="583">
        <v>8.4600000000000009</v>
      </c>
      <c r="L38" s="226">
        <f t="shared" si="31"/>
        <v>1.3580000000000001</v>
      </c>
      <c r="M38" s="213">
        <f t="shared" si="26"/>
        <v>8.4600000000000009</v>
      </c>
      <c r="N38" s="226">
        <f t="shared" si="27"/>
        <v>1.3580000000000001</v>
      </c>
      <c r="O38" s="214">
        <f t="shared" si="30"/>
        <v>8.4600000000000009</v>
      </c>
      <c r="P38" s="226">
        <f t="shared" si="28"/>
        <v>1.3580000000000001</v>
      </c>
      <c r="Q38" s="214">
        <f t="shared" si="29"/>
        <v>8.4600000000000009</v>
      </c>
    </row>
    <row r="39" spans="1:23" ht="15.75" x14ac:dyDescent="0.25">
      <c r="J39" s="46"/>
      <c r="L39" s="231"/>
      <c r="M39" s="232"/>
      <c r="N39" s="231"/>
      <c r="O39" s="232"/>
      <c r="P39" s="231"/>
      <c r="Q39" s="232"/>
    </row>
    <row r="40" spans="1:23" ht="15.75" x14ac:dyDescent="0.25">
      <c r="A40" s="146" t="s">
        <v>27</v>
      </c>
      <c r="B40" s="230">
        <v>0.8</v>
      </c>
      <c r="C40" s="161"/>
      <c r="I40" s="146" t="s">
        <v>27</v>
      </c>
      <c r="J40" s="230">
        <v>0.7</v>
      </c>
      <c r="K40" s="161"/>
    </row>
    <row r="41" spans="1:23" ht="15.75" x14ac:dyDescent="0.25">
      <c r="A41" s="146" t="s">
        <v>127</v>
      </c>
      <c r="B41" s="607" t="s">
        <v>129</v>
      </c>
      <c r="C41" s="607"/>
      <c r="D41" s="607"/>
      <c r="E41" s="607"/>
      <c r="F41" s="607"/>
      <c r="G41" s="607"/>
      <c r="I41" s="146" t="s">
        <v>127</v>
      </c>
      <c r="J41" s="607" t="s">
        <v>129</v>
      </c>
      <c r="K41" s="607"/>
      <c r="L41" s="607"/>
      <c r="M41" s="607"/>
      <c r="N41" s="607"/>
      <c r="O41" s="607"/>
    </row>
    <row r="42" spans="1:23" x14ac:dyDescent="0.2">
      <c r="A42" s="136"/>
      <c r="B42" s="8" t="s">
        <v>142</v>
      </c>
      <c r="C42" s="8" t="s">
        <v>143</v>
      </c>
      <c r="D42" s="8" t="s">
        <v>144</v>
      </c>
      <c r="E42" s="8" t="s">
        <v>145</v>
      </c>
      <c r="F42" s="8" t="s">
        <v>146</v>
      </c>
      <c r="G42" s="8" t="s">
        <v>147</v>
      </c>
      <c r="I42" s="136"/>
      <c r="J42" s="8" t="s">
        <v>142</v>
      </c>
      <c r="K42" s="8" t="s">
        <v>143</v>
      </c>
      <c r="L42" s="8" t="s">
        <v>144</v>
      </c>
      <c r="M42" s="8" t="s">
        <v>145</v>
      </c>
      <c r="N42" s="8" t="s">
        <v>146</v>
      </c>
      <c r="O42" s="8" t="s">
        <v>147</v>
      </c>
    </row>
    <row r="43" spans="1:23" x14ac:dyDescent="0.2">
      <c r="A43" s="564" t="s">
        <v>307</v>
      </c>
      <c r="B43" s="563">
        <f>ROUND((($B$22*2204.62)/2000),3)</f>
        <v>2.319</v>
      </c>
      <c r="C43" s="563">
        <f>ROUND((($B$23*2204.62)/2000),3)</f>
        <v>2.09</v>
      </c>
      <c r="D43" s="563">
        <f>ROUND((($B$24*2204.62)/2000),3)</f>
        <v>2.036</v>
      </c>
      <c r="E43" s="563">
        <f>ROUND((($B$25*2204.62)/2000),3)</f>
        <v>2.4</v>
      </c>
      <c r="F43" s="563">
        <f>ROUND((($B$26*2204.62)/2000),3)</f>
        <v>2.9220000000000002</v>
      </c>
      <c r="G43" s="563">
        <f>ROUND((($B$27*2204.62)/2000),3)</f>
        <v>2.395</v>
      </c>
      <c r="I43" s="564" t="s">
        <v>307</v>
      </c>
      <c r="J43" s="563">
        <f>ROUND((($B$33*2204.62)/2000),3)</f>
        <v>2.319</v>
      </c>
      <c r="K43" s="563">
        <f>ROUND((($B$34*2204.62)/2000),3)</f>
        <v>2.09</v>
      </c>
      <c r="L43" s="563">
        <f>ROUND((($B$35*2204.62)/2000),3)</f>
        <v>2.036</v>
      </c>
      <c r="M43" s="563">
        <f>ROUND((($B$36*2204.62)/2000),3)</f>
        <v>2.4</v>
      </c>
      <c r="N43" s="563">
        <f>ROUND((($B$37*2204.62)/2000),3)</f>
        <v>2.9220000000000002</v>
      </c>
      <c r="O43" s="563">
        <f>ROUND((($B$38*2204.62)/2000),3)</f>
        <v>2.395</v>
      </c>
    </row>
    <row r="44" spans="1:23" x14ac:dyDescent="0.2">
      <c r="A44" s="162" t="s">
        <v>136</v>
      </c>
      <c r="B44" s="563">
        <f>ROUND((($B$22*2204.62)/2000*'Forage Insurance'!$G$18),3)</f>
        <v>2.319</v>
      </c>
      <c r="C44" s="563">
        <f>ROUND((($B$23*2204.62)/2000*'Forage Insurance'!$G$18),3)</f>
        <v>2.09</v>
      </c>
      <c r="D44" s="563">
        <f>ROUND((($B$24*2204.62)/2000*'Forage Insurance'!$G$18),3)</f>
        <v>2.036</v>
      </c>
      <c r="E44" s="563">
        <f>ROUND((($B$25*2204.62)/2000*'Forage Insurance'!$G$18),3)</f>
        <v>2.4</v>
      </c>
      <c r="F44" s="563">
        <f>ROUND((($B$26*2204.62)/2000*'Forage Insurance'!$G$18),3)</f>
        <v>2.9220000000000002</v>
      </c>
      <c r="G44" s="563">
        <f>ROUND((($B$27*2204.62)/2000*'Forage Insurance'!$G$18),3)</f>
        <v>2.395</v>
      </c>
      <c r="I44" s="240" t="s">
        <v>136</v>
      </c>
      <c r="J44" s="563">
        <f>ROUND((($B$33*2204.62)/2000*'Forage Insurance'!$G$18),3)</f>
        <v>2.319</v>
      </c>
      <c r="K44" s="563">
        <f>ROUND((($B$34*2204.62)/2000*'Forage Insurance'!$G$18),3)</f>
        <v>2.09</v>
      </c>
      <c r="L44" s="563">
        <f>ROUND((($B$35*2204.62)/2000*'Forage Insurance'!$G$18),3)</f>
        <v>2.036</v>
      </c>
      <c r="M44" s="563">
        <f>ROUND((($B$36*2204.62)/2000*'Forage Insurance'!$G$18),3)</f>
        <v>2.4</v>
      </c>
      <c r="N44" s="563">
        <f>ROUND((($B$37*2204.62)/2000*'Forage Insurance'!$G$18),3)</f>
        <v>2.9220000000000002</v>
      </c>
      <c r="O44" s="563">
        <f>ROUND((($B$38*2204.62)/2000*'Forage Insurance'!$G$18),3)</f>
        <v>2.395</v>
      </c>
    </row>
    <row r="45" spans="1:23" x14ac:dyDescent="0.2">
      <c r="A45" s="162" t="s">
        <v>138</v>
      </c>
      <c r="B45" s="206">
        <f>ROUND(B44*0.8,3)</f>
        <v>1.855</v>
      </c>
      <c r="C45" s="206">
        <f t="shared" ref="C45:G45" si="32">ROUND(C44*0.8,3)</f>
        <v>1.6719999999999999</v>
      </c>
      <c r="D45" s="206">
        <f t="shared" si="32"/>
        <v>1.629</v>
      </c>
      <c r="E45" s="206">
        <f t="shared" si="32"/>
        <v>1.92</v>
      </c>
      <c r="F45" s="206">
        <f t="shared" si="32"/>
        <v>2.3380000000000001</v>
      </c>
      <c r="G45" s="206">
        <f t="shared" si="32"/>
        <v>1.9159999999999999</v>
      </c>
      <c r="I45" s="240" t="s">
        <v>138</v>
      </c>
      <c r="J45" s="206">
        <f>ROUND(J44*0.7,3)</f>
        <v>1.623</v>
      </c>
      <c r="K45" s="206">
        <f t="shared" ref="K45:O45" si="33">ROUND(K44*0.7,3)</f>
        <v>1.4630000000000001</v>
      </c>
      <c r="L45" s="206">
        <f t="shared" si="33"/>
        <v>1.425</v>
      </c>
      <c r="M45" s="206">
        <f t="shared" si="33"/>
        <v>1.68</v>
      </c>
      <c r="N45" s="206">
        <f t="shared" si="33"/>
        <v>2.0449999999999999</v>
      </c>
      <c r="O45" s="206">
        <f t="shared" si="33"/>
        <v>1.677</v>
      </c>
    </row>
    <row r="46" spans="1:23" x14ac:dyDescent="0.2">
      <c r="A46" s="162" t="s">
        <v>135</v>
      </c>
      <c r="B46" s="163">
        <f t="shared" ref="B46:G46" si="34">B45*$C$2</f>
        <v>373.58819206938159</v>
      </c>
      <c r="C46" s="163">
        <f t="shared" si="34"/>
        <v>336.73286099191699</v>
      </c>
      <c r="D46" s="163">
        <f t="shared" si="34"/>
        <v>328.07286516497174</v>
      </c>
      <c r="E46" s="163">
        <f t="shared" si="34"/>
        <v>386.67888343569416</v>
      </c>
      <c r="F46" s="163">
        <f t="shared" si="34"/>
        <v>470.86209868367342</v>
      </c>
      <c r="G46" s="163">
        <f t="shared" si="34"/>
        <v>385.87330242853642</v>
      </c>
      <c r="I46" s="240" t="s">
        <v>135</v>
      </c>
      <c r="J46" s="163">
        <f t="shared" ref="J46:O46" si="35">J45*$C$2</f>
        <v>326.86449365423522</v>
      </c>
      <c r="K46" s="163">
        <f t="shared" si="35"/>
        <v>294.64125336792739</v>
      </c>
      <c r="L46" s="163">
        <f t="shared" si="35"/>
        <v>286.98823379992928</v>
      </c>
      <c r="M46" s="163">
        <f t="shared" si="35"/>
        <v>338.34402300623236</v>
      </c>
      <c r="N46" s="163">
        <f t="shared" si="35"/>
        <v>411.85328990937217</v>
      </c>
      <c r="O46" s="163">
        <f t="shared" si="35"/>
        <v>337.73983725086413</v>
      </c>
    </row>
    <row r="47" spans="1:23" x14ac:dyDescent="0.2">
      <c r="A47" s="162" t="s">
        <v>126</v>
      </c>
      <c r="B47" s="163">
        <f>C$22</f>
        <v>13.51</v>
      </c>
      <c r="C47" s="163">
        <f>C$23</f>
        <v>22.49</v>
      </c>
      <c r="D47" s="163">
        <f>C$24</f>
        <v>18.88</v>
      </c>
      <c r="E47" s="163">
        <f>C$25</f>
        <v>15.44</v>
      </c>
      <c r="F47" s="163">
        <f>C$26</f>
        <v>17.11</v>
      </c>
      <c r="G47" s="163">
        <f>C$27</f>
        <v>28.64</v>
      </c>
      <c r="I47" s="240" t="s">
        <v>126</v>
      </c>
      <c r="J47" s="163">
        <f>C$33</f>
        <v>9.09</v>
      </c>
      <c r="K47" s="163">
        <f>C$34</f>
        <v>15.21</v>
      </c>
      <c r="L47" s="163">
        <f>C$35</f>
        <v>13.08</v>
      </c>
      <c r="M47" s="163">
        <f>C$36</f>
        <v>10.37</v>
      </c>
      <c r="N47" s="163">
        <f>C$37</f>
        <v>11.76</v>
      </c>
      <c r="O47" s="163">
        <f>C$38</f>
        <v>19.260000000000002</v>
      </c>
    </row>
    <row r="48" spans="1:23" x14ac:dyDescent="0.2">
      <c r="A48" s="162" t="s">
        <v>120</v>
      </c>
      <c r="B48" s="164">
        <f t="shared" ref="B48:G48" si="36">SUM(B47/B46)</f>
        <v>3.6162813190549037E-2</v>
      </c>
      <c r="C48" s="164">
        <f t="shared" si="36"/>
        <v>6.6788848387861532E-2</v>
      </c>
      <c r="D48" s="164">
        <f t="shared" si="36"/>
        <v>5.7548191285207856E-2</v>
      </c>
      <c r="E48" s="164">
        <f t="shared" si="36"/>
        <v>3.9929772897897897E-2</v>
      </c>
      <c r="F48" s="164">
        <f t="shared" si="36"/>
        <v>3.6337602979369443E-2</v>
      </c>
      <c r="G48" s="164">
        <f t="shared" si="36"/>
        <v>7.422125298576239E-2</v>
      </c>
      <c r="I48" s="240" t="s">
        <v>120</v>
      </c>
      <c r="J48" s="164">
        <f t="shared" ref="J48:O48" si="37">SUM(J47/J46)</f>
        <v>2.7809689264125491E-2</v>
      </c>
      <c r="K48" s="164">
        <f t="shared" si="37"/>
        <v>5.1622099166836008E-2</v>
      </c>
      <c r="L48" s="164">
        <f t="shared" si="37"/>
        <v>4.5576781412991936E-2</v>
      </c>
      <c r="M48" s="164">
        <f t="shared" si="37"/>
        <v>3.0649277938652936E-2</v>
      </c>
      <c r="N48" s="164">
        <f t="shared" si="37"/>
        <v>2.8553857133417033E-2</v>
      </c>
      <c r="O48" s="164">
        <f t="shared" si="37"/>
        <v>5.7026142242421314E-2</v>
      </c>
    </row>
    <row r="49" spans="1:15" ht="15.75" x14ac:dyDescent="0.25">
      <c r="A49" s="13" t="s">
        <v>137</v>
      </c>
      <c r="I49" s="72" t="s">
        <v>137</v>
      </c>
    </row>
    <row r="50" spans="1:15" ht="15" customHeight="1" x14ac:dyDescent="0.2">
      <c r="A50" s="1" t="s">
        <v>17</v>
      </c>
      <c r="B50" s="165">
        <f>IF('Summary (HIDE)'!$C$24-B46&lt;0,0,SUM('Summary (HIDE)'!$C$24-B46))</f>
        <v>0</v>
      </c>
      <c r="C50" s="165">
        <f>IF('Summary (HIDE)'!$C$24-C46&lt;0,0,SUM('Summary (HIDE)'!$C$24-C46))</f>
        <v>0</v>
      </c>
      <c r="D50" s="165">
        <f>IF('Summary (HIDE)'!$C$24-D46&lt;0,0,SUM('Summary (HIDE)'!$C$24-D46))</f>
        <v>0</v>
      </c>
      <c r="E50" s="165">
        <f>IF('Summary (HIDE)'!$C$24-E46&lt;0,0,SUM('Summary (HIDE)'!$C$24-E46))</f>
        <v>0</v>
      </c>
      <c r="F50" s="165">
        <f>IF('Summary (HIDE)'!$C$24-F46&lt;0,0,SUM('Summary (HIDE)'!$C$24-F46))</f>
        <v>0</v>
      </c>
      <c r="G50" s="165">
        <f>IF('Summary (HIDE)'!$C$24-G46&lt;0,0,SUM('Summary (HIDE)'!$C$24-G46))</f>
        <v>0</v>
      </c>
      <c r="I50" s="18" t="s">
        <v>17</v>
      </c>
      <c r="J50" s="165">
        <f>IF('Summary (HIDE)'!$C$24-J46&lt;0,0,SUM('Summary (HIDE)'!$C$24-J46))</f>
        <v>0</v>
      </c>
      <c r="K50" s="165">
        <f>IF('Summary (HIDE)'!$C$24-K46&lt;0,0,SUM('Summary (HIDE)'!$C$24-K46))</f>
        <v>0.4408294875034926</v>
      </c>
      <c r="L50" s="165">
        <f>IF('Summary (HIDE)'!$C$24-L46&lt;0,0,SUM('Summary (HIDE)'!$C$24-L46))</f>
        <v>8.0938490555016074</v>
      </c>
      <c r="M50" s="165">
        <f>IF('Summary (HIDE)'!$C$24-M46&lt;0,0,SUM('Summary (HIDE)'!$C$24-M46))</f>
        <v>0</v>
      </c>
      <c r="N50" s="165">
        <f>IF('Summary (HIDE)'!$C$24-N46&lt;0,0,SUM('Summary (HIDE)'!$C$24-N46))</f>
        <v>0</v>
      </c>
      <c r="O50" s="165">
        <f>IF('Summary (HIDE)'!$C$24-O46&lt;0,0,SUM('Summary (HIDE)'!$C$24-O46))</f>
        <v>0</v>
      </c>
    </row>
    <row r="51" spans="1:15" ht="15" customHeight="1" x14ac:dyDescent="0.2">
      <c r="A51" s="1" t="s">
        <v>121</v>
      </c>
      <c r="B51" s="167">
        <f>IF('Summary (HIDE)'!$C$31-B46&lt;0,0,SUM('Summary (HIDE)'!$C$31-B46))</f>
        <v>29.688914648055118</v>
      </c>
      <c r="C51" s="167">
        <f>IF('Summary (HIDE)'!$C$31-C46&lt;0,0,SUM('Summary (HIDE)'!$C$31-C46))</f>
        <v>66.544245725519716</v>
      </c>
      <c r="D51" s="167">
        <f>IF('Summary (HIDE)'!$C$31-D46&lt;0,0,SUM('Summary (HIDE)'!$C$31-D46))</f>
        <v>75.204241552464964</v>
      </c>
      <c r="E51" s="167">
        <f>IF('Summary (HIDE)'!$C$31-E46&lt;0,0,SUM('Summary (HIDE)'!$C$31-E46))</f>
        <v>16.598223281742548</v>
      </c>
      <c r="F51" s="167">
        <f>IF('Summary (HIDE)'!$C$31-F46&lt;0,0,SUM('Summary (HIDE)'!$C$31-F46))</f>
        <v>0</v>
      </c>
      <c r="G51" s="167">
        <f>IF('Summary (HIDE)'!$C$31-G46&lt;0,0,SUM('Summary (HIDE)'!$C$31-G46))</f>
        <v>17.40380428890029</v>
      </c>
      <c r="I51" s="18" t="s">
        <v>121</v>
      </c>
      <c r="J51" s="167">
        <f>IF('Summary (HIDE)'!$C$31-J46&lt;0,0,SUM('Summary (HIDE)'!$C$31-J46))</f>
        <v>76.412613063201491</v>
      </c>
      <c r="K51" s="167">
        <f>IF('Summary (HIDE)'!$C$31-K46&lt;0,0,SUM('Summary (HIDE)'!$C$31-K46))</f>
        <v>108.63585334950932</v>
      </c>
      <c r="L51" s="167">
        <f>IF('Summary (HIDE)'!$C$31-L46&lt;0,0,SUM('Summary (HIDE)'!$C$31-L46))</f>
        <v>116.28887291750743</v>
      </c>
      <c r="M51" s="167">
        <f>IF('Summary (HIDE)'!$C$31-M46&lt;0,0,SUM('Summary (HIDE)'!$C$31-M46))</f>
        <v>64.933083711204347</v>
      </c>
      <c r="N51" s="167">
        <f>IF('Summary (HIDE)'!$C$31-N46&lt;0,0,SUM('Summary (HIDE)'!$C$31-N46))</f>
        <v>0</v>
      </c>
      <c r="O51" s="167">
        <f>IF('Summary (HIDE)'!$C$31-O46&lt;0,0,SUM('Summary (HIDE)'!$C$31-O46))</f>
        <v>65.537269466572582</v>
      </c>
    </row>
    <row r="52" spans="1:15" ht="15" customHeight="1" x14ac:dyDescent="0.2">
      <c r="A52" s="1" t="s">
        <v>16</v>
      </c>
      <c r="B52" s="165">
        <f>IF('Summary (HIDE)'!$C$35-B46&lt;0,0,SUM('Summary (HIDE)'!$C$35-B46))</f>
        <v>59.688914648055118</v>
      </c>
      <c r="C52" s="165">
        <f>IF('Summary (HIDE)'!$C$35-C46&lt;0,0,SUM('Summary (HIDE)'!$C$35-C46))</f>
        <v>96.544245725519716</v>
      </c>
      <c r="D52" s="165">
        <f>IF('Summary (HIDE)'!$C$35-D46&lt;0,0,SUM('Summary (HIDE)'!$C$35-D46))</f>
        <v>105.20424155246496</v>
      </c>
      <c r="E52" s="165">
        <f>IF('Summary (HIDE)'!$C$35-E46&lt;0,0,SUM('Summary (HIDE)'!$C$35-E46))</f>
        <v>46.598223281742548</v>
      </c>
      <c r="F52" s="165">
        <f>IF('Summary (HIDE)'!$C$35-F46&lt;0,0,SUM('Summary (HIDE)'!$C$35-F46))</f>
        <v>0</v>
      </c>
      <c r="G52" s="165">
        <f>IF('Summary (HIDE)'!$C$35-G46&lt;0,0,SUM('Summary (HIDE)'!$C$35-G46))</f>
        <v>47.40380428890029</v>
      </c>
      <c r="I52" s="18" t="s">
        <v>16</v>
      </c>
      <c r="J52" s="165">
        <f>IF('Summary (HIDE)'!$C$35-J46&lt;0,0,SUM('Summary (HIDE)'!$C$35-J46))</f>
        <v>106.41261306320149</v>
      </c>
      <c r="K52" s="165">
        <f>IF('Summary (HIDE)'!$C$35-K46&lt;0,0,SUM('Summary (HIDE)'!$C$35-K46))</f>
        <v>138.63585334950932</v>
      </c>
      <c r="L52" s="165">
        <f>IF('Summary (HIDE)'!$C$35-L46&lt;0,0,SUM('Summary (HIDE)'!$C$35-L46))</f>
        <v>146.28887291750743</v>
      </c>
      <c r="M52" s="165">
        <f>IF('Summary (HIDE)'!$C$35-M46&lt;0,0,SUM('Summary (HIDE)'!$C$35-M46))</f>
        <v>94.933083711204347</v>
      </c>
      <c r="N52" s="165">
        <f>IF('Summary (HIDE)'!$C$35-N46&lt;0,0,SUM('Summary (HIDE)'!$C$35-N46))</f>
        <v>21.423816808064544</v>
      </c>
      <c r="O52" s="165">
        <f>IF('Summary (HIDE)'!$C$35-O46&lt;0,0,SUM('Summary (HIDE)'!$C$35-O46))</f>
        <v>95.537269466572582</v>
      </c>
    </row>
    <row r="53" spans="1:15" ht="15" customHeight="1" x14ac:dyDescent="0.25">
      <c r="A53" s="13" t="s">
        <v>122</v>
      </c>
      <c r="I53" s="72" t="s">
        <v>122</v>
      </c>
    </row>
    <row r="54" spans="1:15" ht="15" customHeight="1" x14ac:dyDescent="0.2">
      <c r="A54" s="1" t="s">
        <v>17</v>
      </c>
      <c r="B54" s="166">
        <f>B46/'Summary (HIDE)'!$C$24</f>
        <v>1.2660483769609729</v>
      </c>
      <c r="C54" s="166">
        <f>C46/'Summary (HIDE)'!$C$24</f>
        <v>1.1411498039238526</v>
      </c>
      <c r="D54" s="166">
        <f>D46/'Summary (HIDE)'!$C$24</f>
        <v>1.1118020517894474</v>
      </c>
      <c r="E54" s="166">
        <f>E46/'Summary (HIDE)'!$C$24</f>
        <v>1.3104112580943763</v>
      </c>
      <c r="F54" s="166">
        <f>F46/'Summary (HIDE)'!$C$24</f>
        <v>1.5956987090753394</v>
      </c>
      <c r="G54" s="166">
        <f>G46/'Summary (HIDE)'!$C$24</f>
        <v>1.3076812346400128</v>
      </c>
      <c r="I54" s="18" t="s">
        <v>17</v>
      </c>
      <c r="J54" s="166">
        <f>J46/'Summary (HIDE)'!$C$24</f>
        <v>1.1077070166079024</v>
      </c>
      <c r="K54" s="166">
        <f>K46/'Summary (HIDE)'!$C$24</f>
        <v>0.99850607843337114</v>
      </c>
      <c r="L54" s="166">
        <f>L46/'Summary (HIDE)'!$C$24</f>
        <v>0.97257085561691992</v>
      </c>
      <c r="M54" s="166">
        <f>M46/'Summary (HIDE)'!$C$24</f>
        <v>1.146609850832579</v>
      </c>
      <c r="N54" s="166">
        <f>N46/'Summary (HIDE)'!$C$24</f>
        <v>1.3957244910432289</v>
      </c>
      <c r="O54" s="166">
        <f>O46/'Summary (HIDE)'!$C$24</f>
        <v>1.1445623332418069</v>
      </c>
    </row>
    <row r="55" spans="1:15" x14ac:dyDescent="0.2">
      <c r="A55" s="1" t="s">
        <v>16</v>
      </c>
      <c r="B55" s="166">
        <f>B46/'Summary (HIDE)'!$C$35</f>
        <v>0.86223847574069623</v>
      </c>
      <c r="C55" s="166">
        <f>C46/'Summary (HIDE)'!$C$35</f>
        <v>0.77717667462988893</v>
      </c>
      <c r="D55" s="166">
        <f>D46/'Summary (HIDE)'!$C$35</f>
        <v>0.75718947546177573</v>
      </c>
      <c r="E55" s="166">
        <f>E46/'Summary (HIDE)'!$C$35</f>
        <v>0.89245168378551842</v>
      </c>
      <c r="F55" s="166">
        <f>F46/'Summary (HIDE)'!$C$35</f>
        <v>1.0867458524429907</v>
      </c>
      <c r="G55" s="166">
        <f>G46/'Summary (HIDE)'!$C$35</f>
        <v>0.89059240944429852</v>
      </c>
      <c r="I55" s="18" t="s">
        <v>16</v>
      </c>
      <c r="J55" s="166">
        <f>J46/'Summary (HIDE)'!$C$35</f>
        <v>0.75440056394994603</v>
      </c>
      <c r="K55" s="166">
        <f>K46/'Summary (HIDE)'!$C$35</f>
        <v>0.68002959030115295</v>
      </c>
      <c r="L55" s="166">
        <f>L46/'Summary (HIDE)'!$C$35</f>
        <v>0.66236648405956455</v>
      </c>
      <c r="M55" s="166">
        <f>M46/'Summary (HIDE)'!$C$35</f>
        <v>0.78089522331232863</v>
      </c>
      <c r="N55" s="166">
        <f>N46/'Summary (HIDE)'!$C$35</f>
        <v>0.95055400694863812</v>
      </c>
      <c r="O55" s="166">
        <f>O46/'Summary (HIDE)'!$C$35</f>
        <v>0.77950076755641384</v>
      </c>
    </row>
    <row r="57" spans="1:15" ht="15.75" x14ac:dyDescent="0.25">
      <c r="A57" s="146" t="s">
        <v>27</v>
      </c>
      <c r="B57" s="230">
        <v>0.8</v>
      </c>
      <c r="C57" s="161"/>
      <c r="I57" s="146" t="s">
        <v>27</v>
      </c>
      <c r="J57" s="230">
        <v>0.7</v>
      </c>
      <c r="K57" s="161"/>
    </row>
    <row r="58" spans="1:15" ht="15.75" x14ac:dyDescent="0.25">
      <c r="A58" s="146" t="s">
        <v>128</v>
      </c>
      <c r="B58" s="607" t="s">
        <v>129</v>
      </c>
      <c r="C58" s="607"/>
      <c r="D58" s="607"/>
      <c r="E58" s="607"/>
      <c r="F58" s="607"/>
      <c r="G58" s="607"/>
      <c r="I58" s="146" t="s">
        <v>128</v>
      </c>
      <c r="J58" s="607" t="s">
        <v>129</v>
      </c>
      <c r="K58" s="607"/>
      <c r="L58" s="607"/>
      <c r="M58" s="607"/>
      <c r="N58" s="607"/>
      <c r="O58" s="607"/>
    </row>
    <row r="59" spans="1:15" x14ac:dyDescent="0.2">
      <c r="A59" s="136"/>
      <c r="B59" s="8" t="s">
        <v>142</v>
      </c>
      <c r="C59" s="8" t="s">
        <v>143</v>
      </c>
      <c r="D59" s="8" t="s">
        <v>144</v>
      </c>
      <c r="E59" s="8" t="s">
        <v>145</v>
      </c>
      <c r="F59" s="8" t="s">
        <v>146</v>
      </c>
      <c r="G59" s="8" t="s">
        <v>147</v>
      </c>
      <c r="I59" s="136"/>
      <c r="J59" s="8" t="s">
        <v>142</v>
      </c>
      <c r="K59" s="8" t="s">
        <v>143</v>
      </c>
      <c r="L59" s="8" t="s">
        <v>144</v>
      </c>
      <c r="M59" s="8" t="s">
        <v>145</v>
      </c>
      <c r="N59" s="8" t="s">
        <v>146</v>
      </c>
      <c r="O59" s="8" t="s">
        <v>147</v>
      </c>
    </row>
    <row r="60" spans="1:15" x14ac:dyDescent="0.2">
      <c r="A60" s="564" t="s">
        <v>307</v>
      </c>
      <c r="B60" s="563">
        <f>ROUND((($D$22*2204.62)/2000),3)</f>
        <v>1.625</v>
      </c>
      <c r="C60" s="563">
        <f>ROUND((($D$23*2204.62)/2000),3)</f>
        <v>1.502</v>
      </c>
      <c r="D60" s="563">
        <f>ROUND((($D$24*2204.62)/2000),3)</f>
        <v>1.7629999999999999</v>
      </c>
      <c r="E60" s="563">
        <f>ROUND((($D$25*2204.62)/2000),3)</f>
        <v>1.7589999999999999</v>
      </c>
      <c r="F60" s="563">
        <f>ROUND((($D$26*2204.62)/2000),3)</f>
        <v>2.1269999999999998</v>
      </c>
      <c r="G60" s="563">
        <f>ROUND((($D$27*2204.62)/2000),3)</f>
        <v>1.71</v>
      </c>
      <c r="I60" s="564" t="s">
        <v>307</v>
      </c>
      <c r="J60" s="563">
        <f>ROUND((($D$33*2204.62)/2000),3)</f>
        <v>1.625</v>
      </c>
      <c r="K60" s="563">
        <f>ROUND((($D$34*2204.62)/2000),3)</f>
        <v>1.502</v>
      </c>
      <c r="L60" s="563">
        <f>ROUND((($D$35*2204.62)/2000),3)</f>
        <v>1.7629999999999999</v>
      </c>
      <c r="M60" s="563">
        <f>ROUND((($D$36*2204.62)/2000),3)</f>
        <v>1.7589999999999999</v>
      </c>
      <c r="N60" s="563">
        <f>ROUND((($D$37*2204.62)/2000),3)</f>
        <v>2.1269999999999998</v>
      </c>
      <c r="O60" s="563">
        <f>ROUND((($D$38*2204.62)/2000),3)</f>
        <v>1.71</v>
      </c>
    </row>
    <row r="61" spans="1:15" x14ac:dyDescent="0.2">
      <c r="A61" s="162" t="s">
        <v>136</v>
      </c>
      <c r="B61" s="563">
        <f>ROUND((($D$22*2204.62)/2000*'Forage Insurance'!$F$18),3)</f>
        <v>1.625</v>
      </c>
      <c r="C61" s="563">
        <f>ROUND((($D$23*2204.62)/2000*'Forage Insurance'!$F$18),3)</f>
        <v>1.502</v>
      </c>
      <c r="D61" s="563">
        <f>ROUND((($D$24*2204.62)/2000*'Forage Insurance'!$F$18),3)</f>
        <v>1.7629999999999999</v>
      </c>
      <c r="E61" s="563">
        <f>ROUND((($D$25*2204.62)/2000*'Forage Insurance'!$F$18),3)</f>
        <v>1.7589999999999999</v>
      </c>
      <c r="F61" s="563">
        <f>ROUND((($D$26*2204.62)/2000*'Forage Insurance'!$F$18),3)</f>
        <v>2.1269999999999998</v>
      </c>
      <c r="G61" s="563">
        <f>ROUND((($D$27*2204.62)/2000*'Forage Insurance'!$F$18),3)</f>
        <v>1.71</v>
      </c>
      <c r="I61" s="240" t="s">
        <v>136</v>
      </c>
      <c r="J61" s="563">
        <f>ROUND((($D$33*2204.62)/2000*'Forage Insurance'!$F$18),3)</f>
        <v>1.625</v>
      </c>
      <c r="K61" s="563">
        <f>ROUND((($D$34*2204.62)/2000*'Forage Insurance'!$F$18),3)</f>
        <v>1.502</v>
      </c>
      <c r="L61" s="563">
        <f>ROUND((($D$35*2204.62)/2000*'Forage Insurance'!$F$18),3)</f>
        <v>1.7629999999999999</v>
      </c>
      <c r="M61" s="563">
        <f>ROUND((($D$36*2204.62)/2000*'Forage Insurance'!$F$18),3)</f>
        <v>1.7589999999999999</v>
      </c>
      <c r="N61" s="563">
        <f>ROUND((($D$37*2204.62)/2000*'Forage Insurance'!$F$18),3)</f>
        <v>2.1269999999999998</v>
      </c>
      <c r="O61" s="563">
        <f>ROUND((($D$38*2204.62)/2000*'Forage Insurance'!$F$18),3)</f>
        <v>1.71</v>
      </c>
    </row>
    <row r="62" spans="1:15" x14ac:dyDescent="0.2">
      <c r="A62" s="162" t="s">
        <v>138</v>
      </c>
      <c r="B62" s="233">
        <f t="shared" ref="B62:G62" si="38">ROUND(B61*0.8,3)</f>
        <v>1.3</v>
      </c>
      <c r="C62" s="233">
        <f t="shared" si="38"/>
        <v>1.202</v>
      </c>
      <c r="D62" s="233">
        <f t="shared" si="38"/>
        <v>1.41</v>
      </c>
      <c r="E62" s="233">
        <f t="shared" si="38"/>
        <v>1.407</v>
      </c>
      <c r="F62" s="233">
        <f t="shared" si="38"/>
        <v>1.702</v>
      </c>
      <c r="G62" s="233">
        <f t="shared" si="38"/>
        <v>1.3680000000000001</v>
      </c>
      <c r="I62" s="240" t="s">
        <v>138</v>
      </c>
      <c r="J62" s="233">
        <f>ROUND(J61*0.7,3)</f>
        <v>1.1379999999999999</v>
      </c>
      <c r="K62" s="233">
        <f t="shared" ref="K62:O62" si="39">ROUND(K61*0.7,3)</f>
        <v>1.0509999999999999</v>
      </c>
      <c r="L62" s="233">
        <f t="shared" si="39"/>
        <v>1.234</v>
      </c>
      <c r="M62" s="233">
        <f t="shared" si="39"/>
        <v>1.2310000000000001</v>
      </c>
      <c r="N62" s="233">
        <f t="shared" si="39"/>
        <v>1.4890000000000001</v>
      </c>
      <c r="O62" s="233">
        <f t="shared" si="39"/>
        <v>1.1970000000000001</v>
      </c>
    </row>
    <row r="63" spans="1:15" x14ac:dyDescent="0.2">
      <c r="A63" s="162" t="s">
        <v>135</v>
      </c>
      <c r="B63" s="163">
        <f t="shared" ref="B63:G63" si="40">B62*$C$2</f>
        <v>261.81382732625127</v>
      </c>
      <c r="C63" s="163">
        <f t="shared" si="40"/>
        <v>242.07709265088769</v>
      </c>
      <c r="D63" s="163">
        <f t="shared" si="40"/>
        <v>283.96730502308787</v>
      </c>
      <c r="E63" s="163">
        <f t="shared" si="40"/>
        <v>283.36311926771964</v>
      </c>
      <c r="F63" s="163">
        <f t="shared" si="40"/>
        <v>342.77471854559968</v>
      </c>
      <c r="G63" s="163">
        <f t="shared" si="40"/>
        <v>275.50870444793213</v>
      </c>
      <c r="I63" s="240" t="s">
        <v>135</v>
      </c>
      <c r="J63" s="163">
        <f t="shared" ref="J63:O63" si="41">J62*$C$2</f>
        <v>229.18779653636454</v>
      </c>
      <c r="K63" s="163">
        <f t="shared" si="41"/>
        <v>211.66640963068465</v>
      </c>
      <c r="L63" s="163">
        <f t="shared" si="41"/>
        <v>248.52174070814925</v>
      </c>
      <c r="M63" s="163">
        <f t="shared" si="41"/>
        <v>247.91755495278102</v>
      </c>
      <c r="N63" s="163">
        <f t="shared" si="41"/>
        <v>299.8775299144524</v>
      </c>
      <c r="O63" s="163">
        <f t="shared" si="41"/>
        <v>241.07011639194059</v>
      </c>
    </row>
    <row r="64" spans="1:15" x14ac:dyDescent="0.2">
      <c r="A64" s="162" t="s">
        <v>126</v>
      </c>
      <c r="B64" s="163">
        <f>E$22</f>
        <v>13.51</v>
      </c>
      <c r="C64" s="163">
        <f>E$23</f>
        <v>22.49</v>
      </c>
      <c r="D64" s="163">
        <f>E$24</f>
        <v>18.88</v>
      </c>
      <c r="E64" s="163">
        <f>E$25</f>
        <v>15.44</v>
      </c>
      <c r="F64" s="163">
        <f>E$26</f>
        <v>17.11</v>
      </c>
      <c r="G64" s="163">
        <f>E$27</f>
        <v>28.64</v>
      </c>
      <c r="I64" s="240" t="s">
        <v>126</v>
      </c>
      <c r="J64" s="163">
        <f>E$33</f>
        <v>9.09</v>
      </c>
      <c r="K64" s="163">
        <f>E$34</f>
        <v>15.21</v>
      </c>
      <c r="L64" s="163">
        <f>E$35</f>
        <v>13.08</v>
      </c>
      <c r="M64" s="163">
        <f>E$36</f>
        <v>10.37</v>
      </c>
      <c r="N64" s="163">
        <f>E$37</f>
        <v>11.76</v>
      </c>
      <c r="O64" s="163">
        <f>E$38</f>
        <v>19.260000000000002</v>
      </c>
    </row>
    <row r="65" spans="1:15" x14ac:dyDescent="0.2">
      <c r="A65" s="162" t="s">
        <v>120</v>
      </c>
      <c r="B65" s="164">
        <f t="shared" ref="B65:G65" si="42">SUM(B64/B63)</f>
        <v>5.1601552668052664E-2</v>
      </c>
      <c r="C65" s="164">
        <f t="shared" si="42"/>
        <v>9.2904288273298247E-2</v>
      </c>
      <c r="D65" s="164">
        <f t="shared" si="42"/>
        <v>6.6486527378442267E-2</v>
      </c>
      <c r="E65" s="164">
        <f t="shared" si="42"/>
        <v>5.4488389455553628E-2</v>
      </c>
      <c r="F65" s="164">
        <f t="shared" si="42"/>
        <v>4.9916166724891756E-2</v>
      </c>
      <c r="G65" s="164">
        <f t="shared" si="42"/>
        <v>0.10395315842157946</v>
      </c>
      <c r="I65" s="240" t="s">
        <v>120</v>
      </c>
      <c r="J65" s="164">
        <f t="shared" ref="J65:O65" si="43">SUM(J64/J63)</f>
        <v>3.9661797606041896E-2</v>
      </c>
      <c r="K65" s="164">
        <f t="shared" si="43"/>
        <v>7.1858354977241759E-2</v>
      </c>
      <c r="L65" s="164">
        <f t="shared" si="43"/>
        <v>5.263121030268518E-2</v>
      </c>
      <c r="M65" s="164">
        <f t="shared" si="43"/>
        <v>4.1828421557219275E-2</v>
      </c>
      <c r="N65" s="164">
        <f t="shared" si="43"/>
        <v>3.9216009293376652E-2</v>
      </c>
      <c r="O65" s="164">
        <f t="shared" si="43"/>
        <v>7.9893768204294516E-2</v>
      </c>
    </row>
    <row r="66" spans="1:15" ht="15.75" x14ac:dyDescent="0.25">
      <c r="A66" s="13" t="s">
        <v>137</v>
      </c>
      <c r="I66" s="72" t="s">
        <v>137</v>
      </c>
    </row>
    <row r="67" spans="1:15" x14ac:dyDescent="0.2">
      <c r="A67" s="1" t="s">
        <v>17</v>
      </c>
      <c r="B67" s="165">
        <f>IF('Summary (HIDE)'!$C$24-B63&lt;0,0,SUM('Summary (HIDE)'!$C$24-B63))</f>
        <v>33.268255529179612</v>
      </c>
      <c r="C67" s="165">
        <f>IF('Summary (HIDE)'!$C$24-C63&lt;0,0,SUM('Summary (HIDE)'!$C$24-C63))</f>
        <v>53.004990204543191</v>
      </c>
      <c r="D67" s="165">
        <f>IF('Summary (HIDE)'!$C$24-D63&lt;0,0,SUM('Summary (HIDE)'!$C$24-D63))</f>
        <v>11.114777832343009</v>
      </c>
      <c r="E67" s="165">
        <f>IF('Summary (HIDE)'!$C$24-E63&lt;0,0,SUM('Summary (HIDE)'!$C$24-E63))</f>
        <v>11.718963587711244</v>
      </c>
      <c r="F67" s="165">
        <f>IF('Summary (HIDE)'!$C$24-F63&lt;0,0,SUM('Summary (HIDE)'!$C$24-F63))</f>
        <v>0</v>
      </c>
      <c r="G67" s="165">
        <f>IF('Summary (HIDE)'!$C$24-G63&lt;0,0,SUM('Summary (HIDE)'!$C$24-G63))</f>
        <v>19.573378407498751</v>
      </c>
      <c r="I67" s="18" t="s">
        <v>17</v>
      </c>
      <c r="J67" s="165">
        <f>IF('Summary (HIDE)'!$C$24-J63&lt;0,0,SUM('Summary (HIDE)'!$C$24-J63))</f>
        <v>65.894286319066339</v>
      </c>
      <c r="K67" s="165">
        <f>IF('Summary (HIDE)'!$C$24-K63&lt;0,0,SUM('Summary (HIDE)'!$C$24-K63))</f>
        <v>83.415673224746229</v>
      </c>
      <c r="L67" s="165">
        <f>IF('Summary (HIDE)'!$C$24-L63&lt;0,0,SUM('Summary (HIDE)'!$C$24-L63))</f>
        <v>46.560342147281631</v>
      </c>
      <c r="M67" s="165">
        <f>IF('Summary (HIDE)'!$C$24-M63&lt;0,0,SUM('Summary (HIDE)'!$C$24-M63))</f>
        <v>47.164527902649866</v>
      </c>
      <c r="N67" s="165">
        <f>IF('Summary (HIDE)'!$C$24-N63&lt;0,0,SUM('Summary (HIDE)'!$C$24-N63))</f>
        <v>0</v>
      </c>
      <c r="O67" s="165">
        <f>IF('Summary (HIDE)'!$C$24-O63&lt;0,0,SUM('Summary (HIDE)'!$C$24-O63))</f>
        <v>54.011966463490296</v>
      </c>
    </row>
    <row r="68" spans="1:15" x14ac:dyDescent="0.2">
      <c r="A68" s="1" t="s">
        <v>121</v>
      </c>
      <c r="B68" s="167">
        <f>IF('Summary (HIDE)'!$C$31-B63&lt;0,0,SUM('Summary (HIDE)'!$C$31-B63))</f>
        <v>141.46327939118544</v>
      </c>
      <c r="C68" s="167">
        <f>IF('Summary (HIDE)'!$C$31-C63&lt;0,0,SUM('Summary (HIDE)'!$C$31-C63))</f>
        <v>161.20001406654902</v>
      </c>
      <c r="D68" s="167">
        <f>IF('Summary (HIDE)'!$C$31-D63&lt;0,0,SUM('Summary (HIDE)'!$C$31-D63))</f>
        <v>119.30980169434883</v>
      </c>
      <c r="E68" s="167">
        <f>IF('Summary (HIDE)'!$C$31-E63&lt;0,0,SUM('Summary (HIDE)'!$C$31-E63))</f>
        <v>119.91398744971707</v>
      </c>
      <c r="F68" s="167">
        <f>IF('Summary (HIDE)'!$C$31-F63&lt;0,0,SUM('Summary (HIDE)'!$C$31-F63))</f>
        <v>60.502388171837026</v>
      </c>
      <c r="G68" s="167">
        <f>IF('Summary (HIDE)'!$C$31-G63&lt;0,0,SUM('Summary (HIDE)'!$C$31-G63))</f>
        <v>127.76840226950458</v>
      </c>
      <c r="I68" s="18" t="s">
        <v>121</v>
      </c>
      <c r="J68" s="167">
        <f>IF('Summary (HIDE)'!$C$31-J63&lt;0,0,SUM('Summary (HIDE)'!$C$31-J63))</f>
        <v>174.08931018107216</v>
      </c>
      <c r="K68" s="167">
        <f>IF('Summary (HIDE)'!$C$31-K63&lt;0,0,SUM('Summary (HIDE)'!$C$31-K63))</f>
        <v>191.61069708675205</v>
      </c>
      <c r="L68" s="167">
        <f>IF('Summary (HIDE)'!$C$31-L63&lt;0,0,SUM('Summary (HIDE)'!$C$31-L63))</f>
        <v>154.75536600928746</v>
      </c>
      <c r="M68" s="167">
        <f>IF('Summary (HIDE)'!$C$31-M63&lt;0,0,SUM('Summary (HIDE)'!$C$31-M63))</f>
        <v>155.35955176465569</v>
      </c>
      <c r="N68" s="167">
        <f>IF('Summary (HIDE)'!$C$31-N63&lt;0,0,SUM('Summary (HIDE)'!$C$31-N63))</f>
        <v>103.39957680298431</v>
      </c>
      <c r="O68" s="167">
        <f>IF('Summary (HIDE)'!$C$31-O63&lt;0,0,SUM('Summary (HIDE)'!$C$31-O63))</f>
        <v>162.20699032549612</v>
      </c>
    </row>
    <row r="69" spans="1:15" x14ac:dyDescent="0.2">
      <c r="A69" s="1" t="s">
        <v>16</v>
      </c>
      <c r="B69" s="165">
        <f>IF('Summary (HIDE)'!$C$35-B63&lt;0,0,SUM('Summary (HIDE)'!$C$35-B63))</f>
        <v>171.46327939118544</v>
      </c>
      <c r="C69" s="165">
        <f>IF('Summary (HIDE)'!$C$35-C63&lt;0,0,SUM('Summary (HIDE)'!$C$35-C63))</f>
        <v>191.20001406654902</v>
      </c>
      <c r="D69" s="165">
        <f>IF('Summary (HIDE)'!$C$35-D63&lt;0,0,SUM('Summary (HIDE)'!$C$35-D63))</f>
        <v>149.30980169434883</v>
      </c>
      <c r="E69" s="165">
        <f>IF('Summary (HIDE)'!$C$35-E63&lt;0,0,SUM('Summary (HIDE)'!$C$35-E63))</f>
        <v>149.91398744971707</v>
      </c>
      <c r="F69" s="165">
        <f>IF('Summary (HIDE)'!$C$35-F63&lt;0,0,SUM('Summary (HIDE)'!$C$35-F63))</f>
        <v>90.502388171837026</v>
      </c>
      <c r="G69" s="165">
        <f>IF('Summary (HIDE)'!$C$35-G63&lt;0,0,SUM('Summary (HIDE)'!$C$35-G63))</f>
        <v>157.76840226950458</v>
      </c>
      <c r="I69" s="18" t="s">
        <v>16</v>
      </c>
      <c r="J69" s="165">
        <f>IF('Summary (HIDE)'!$C$35-J63&lt;0,0,SUM('Summary (HIDE)'!$C$35-J63))</f>
        <v>204.08931018107216</v>
      </c>
      <c r="K69" s="165">
        <f>IF('Summary (HIDE)'!$C$35-K63&lt;0,0,SUM('Summary (HIDE)'!$C$35-K63))</f>
        <v>221.61069708675205</v>
      </c>
      <c r="L69" s="165">
        <f>IF('Summary (HIDE)'!$C$35-L63&lt;0,0,SUM('Summary (HIDE)'!$C$35-L63))</f>
        <v>184.75536600928746</v>
      </c>
      <c r="M69" s="165">
        <f>IF('Summary (HIDE)'!$C$35-M63&lt;0,0,SUM('Summary (HIDE)'!$C$35-M63))</f>
        <v>185.35955176465569</v>
      </c>
      <c r="N69" s="165">
        <f>IF('Summary (HIDE)'!$C$35-N63&lt;0,0,SUM('Summary (HIDE)'!$C$35-N63))</f>
        <v>133.39957680298431</v>
      </c>
      <c r="O69" s="165">
        <f>IF('Summary (HIDE)'!$C$35-O63&lt;0,0,SUM('Summary (HIDE)'!$C$35-O63))</f>
        <v>192.20699032549612</v>
      </c>
    </row>
    <row r="70" spans="1:15" ht="15.75" x14ac:dyDescent="0.25">
      <c r="A70" s="13" t="s">
        <v>122</v>
      </c>
      <c r="I70" s="72" t="s">
        <v>122</v>
      </c>
    </row>
    <row r="71" spans="1:15" x14ac:dyDescent="0.2">
      <c r="A71" s="1" t="s">
        <v>17</v>
      </c>
      <c r="B71" s="166">
        <f>B63/'Summary (HIDE)'!$C$24</f>
        <v>0.88725762266806729</v>
      </c>
      <c r="C71" s="166">
        <f>C63/'Summary (HIDE)'!$C$24</f>
        <v>0.82037204803616681</v>
      </c>
      <c r="D71" s="166">
        <f>D63/'Summary (HIDE)'!$C$24</f>
        <v>0.96233326766305749</v>
      </c>
      <c r="E71" s="166">
        <f>E63/'Summary (HIDE)'!$C$24</f>
        <v>0.96028575007228512</v>
      </c>
      <c r="F71" s="166">
        <f>F63/'Summary (HIDE)'!$C$24</f>
        <v>1.1616249798315772</v>
      </c>
      <c r="G71" s="166">
        <f>G63/'Summary (HIDE)'!$C$24</f>
        <v>0.93366802139224325</v>
      </c>
      <c r="I71" s="18" t="s">
        <v>17</v>
      </c>
      <c r="J71" s="166">
        <f>J63/'Summary (HIDE)'!$C$24</f>
        <v>0.7766916727663542</v>
      </c>
      <c r="K71" s="166">
        <f>K63/'Summary (HIDE)'!$C$24</f>
        <v>0.7173136626339528</v>
      </c>
      <c r="L71" s="166">
        <f>L63/'Summary (HIDE)'!$C$24</f>
        <v>0.84221223567107306</v>
      </c>
      <c r="M71" s="166">
        <f>M63/'Summary (HIDE)'!$C$24</f>
        <v>0.84016471808030069</v>
      </c>
      <c r="N71" s="166">
        <f>N63/'Summary (HIDE)'!$C$24</f>
        <v>1.0162512308867324</v>
      </c>
      <c r="O71" s="166">
        <f>O63/'Summary (HIDE)'!$C$24</f>
        <v>0.81695951871821271</v>
      </c>
    </row>
    <row r="72" spans="1:15" x14ac:dyDescent="0.2">
      <c r="A72" s="1" t="s">
        <v>16</v>
      </c>
      <c r="B72" s="166">
        <f>B63/'Summary (HIDE)'!$C$35</f>
        <v>0.60426416089644486</v>
      </c>
      <c r="C72" s="166">
        <f>C63/'Summary (HIDE)'!$C$35</f>
        <v>0.55871193953655895</v>
      </c>
      <c r="D72" s="166">
        <f>D63/'Summary (HIDE)'!$C$35</f>
        <v>0.65539420527999004</v>
      </c>
      <c r="E72" s="166">
        <f>E63/'Summary (HIDE)'!$C$35</f>
        <v>0.65399974952407525</v>
      </c>
      <c r="F72" s="166">
        <f>F63/'Summary (HIDE)'!$C$35</f>
        <v>0.79112123218903763</v>
      </c>
      <c r="G72" s="166">
        <f>G63/'Summary (HIDE)'!$C$35</f>
        <v>0.63587182469718195</v>
      </c>
      <c r="I72" s="18" t="s">
        <v>16</v>
      </c>
      <c r="J72" s="166">
        <f>J63/'Summary (HIDE)'!$C$35</f>
        <v>0.52896355007704166</v>
      </c>
      <c r="K72" s="166">
        <f>K63/'Summary (HIDE)'!$C$35</f>
        <v>0.48852433315551036</v>
      </c>
      <c r="L72" s="166">
        <f>L63/'Summary (HIDE)'!$C$35</f>
        <v>0.57358613426631755</v>
      </c>
      <c r="M72" s="166">
        <f>M63/'Summary (HIDE)'!$C$35</f>
        <v>0.57219167851040276</v>
      </c>
      <c r="N72" s="166">
        <f>N63/'Summary (HIDE)'!$C$35</f>
        <v>0.69211487351908174</v>
      </c>
      <c r="O72" s="166">
        <f>O63/'Summary (HIDE)'!$C$35</f>
        <v>0.55638784661003415</v>
      </c>
    </row>
    <row r="74" spans="1:15" ht="15.75" x14ac:dyDescent="0.25">
      <c r="A74" s="146" t="s">
        <v>33</v>
      </c>
      <c r="B74" s="230">
        <v>0.8</v>
      </c>
      <c r="C74" s="161"/>
      <c r="I74" s="146" t="s">
        <v>33</v>
      </c>
      <c r="J74" s="230">
        <v>0.7</v>
      </c>
      <c r="K74" s="161"/>
    </row>
    <row r="75" spans="1:15" ht="15.75" x14ac:dyDescent="0.25">
      <c r="A75" s="146" t="s">
        <v>127</v>
      </c>
      <c r="B75" s="607" t="s">
        <v>129</v>
      </c>
      <c r="C75" s="607"/>
      <c r="D75" s="607"/>
      <c r="E75" s="607"/>
      <c r="F75" s="607"/>
      <c r="G75" s="607"/>
      <c r="I75" s="146" t="s">
        <v>127</v>
      </c>
      <c r="J75" s="607" t="s">
        <v>129</v>
      </c>
      <c r="K75" s="607"/>
      <c r="L75" s="607"/>
      <c r="M75" s="607"/>
      <c r="N75" s="607"/>
      <c r="O75" s="607"/>
    </row>
    <row r="76" spans="1:15" x14ac:dyDescent="0.2">
      <c r="A76" s="136"/>
      <c r="B76" s="8" t="s">
        <v>142</v>
      </c>
      <c r="C76" s="8" t="s">
        <v>143</v>
      </c>
      <c r="D76" s="8" t="s">
        <v>144</v>
      </c>
      <c r="E76" s="8" t="s">
        <v>145</v>
      </c>
      <c r="F76" s="8" t="s">
        <v>146</v>
      </c>
      <c r="G76" s="8" t="s">
        <v>147</v>
      </c>
      <c r="I76" s="136"/>
      <c r="J76" s="8" t="s">
        <v>142</v>
      </c>
      <c r="K76" s="8" t="s">
        <v>143</v>
      </c>
      <c r="L76" s="8" t="s">
        <v>144</v>
      </c>
      <c r="M76" s="8" t="s">
        <v>145</v>
      </c>
      <c r="N76" s="8" t="s">
        <v>146</v>
      </c>
      <c r="O76" s="8" t="s">
        <v>147</v>
      </c>
    </row>
    <row r="77" spans="1:15" x14ac:dyDescent="0.2">
      <c r="A77" s="564" t="s">
        <v>307</v>
      </c>
      <c r="B77" s="563">
        <f>ROUND((($F$22*2204.62)/2000),3)</f>
        <v>2.0590000000000002</v>
      </c>
      <c r="C77" s="563">
        <f>ROUND((($F$23*2204.62)/2000),3)</f>
        <v>1.9690000000000001</v>
      </c>
      <c r="D77" s="563">
        <f>ROUND((($F$24*2204.62)/2000),3)</f>
        <v>1.97</v>
      </c>
      <c r="E77" s="563">
        <f>ROUND((($F$25*2204.62)/2000),3)</f>
        <v>1.99</v>
      </c>
      <c r="F77" s="563">
        <f>ROUND((($F$26*2204.62)/2000),3)</f>
        <v>2.3029999999999999</v>
      </c>
      <c r="G77" s="563">
        <f>ROUND((($F$27*2204.62)/2000),3)</f>
        <v>2.0760000000000001</v>
      </c>
      <c r="I77" s="564" t="s">
        <v>307</v>
      </c>
      <c r="J77" s="563">
        <f>ROUND((($F$33*2204.62)/2000),3)</f>
        <v>2.0590000000000002</v>
      </c>
      <c r="K77" s="563">
        <f>ROUND((($F$34*2204.62)/2000),3)</f>
        <v>1.9690000000000001</v>
      </c>
      <c r="L77" s="563">
        <f>ROUND((($F$35*2204.62)/2000),3)</f>
        <v>1.97</v>
      </c>
      <c r="M77" s="563">
        <f>ROUND((($F$36*2204.62)/2000),3)</f>
        <v>1.99</v>
      </c>
      <c r="N77" s="563">
        <f>ROUND((($F$37*2204.62)/2000),3)</f>
        <v>2.3029999999999999</v>
      </c>
      <c r="O77" s="563">
        <f>ROUND((($F$38*2204.62)/2000),3)</f>
        <v>2.0760000000000001</v>
      </c>
    </row>
    <row r="78" spans="1:15" x14ac:dyDescent="0.2">
      <c r="A78" s="162" t="s">
        <v>136</v>
      </c>
      <c r="B78" s="563">
        <f>ROUND((($F$22*2204.62)/2000*'Forage Insurance'!$E$18),3)</f>
        <v>2.0590000000000002</v>
      </c>
      <c r="C78" s="563">
        <f>ROUND((($F$23*2204.62)/2000*'Forage Insurance'!$E$18),3)</f>
        <v>1.9690000000000001</v>
      </c>
      <c r="D78" s="563">
        <f>ROUND((($F$24*2204.62)/2000*'Forage Insurance'!$E$18),3)</f>
        <v>1.97</v>
      </c>
      <c r="E78" s="563">
        <f>ROUND((($F$25*2204.62)/2000*'Forage Insurance'!$E$18),3)</f>
        <v>1.99</v>
      </c>
      <c r="F78" s="563">
        <f>ROUND((($F$26*2204.62)/2000*'Forage Insurance'!$E$18),3)</f>
        <v>2.3029999999999999</v>
      </c>
      <c r="G78" s="563">
        <f>ROUND((($F$27*2204.62)/2000*'Forage Insurance'!$E$18),3)</f>
        <v>2.0760000000000001</v>
      </c>
      <c r="I78" s="240" t="s">
        <v>136</v>
      </c>
      <c r="J78" s="563">
        <f>ROUND((($F$33*2204.62)/2000*'Forage Insurance'!$E$18),3)</f>
        <v>2.0590000000000002</v>
      </c>
      <c r="K78" s="563">
        <f>ROUND((($F$34*2204.62)/2000*'Forage Insurance'!$E$18),3)</f>
        <v>1.9690000000000001</v>
      </c>
      <c r="L78" s="563">
        <f>ROUND((($F$35*2204.62)/2000*'Forage Insurance'!$E$18),3)</f>
        <v>1.97</v>
      </c>
      <c r="M78" s="563">
        <f>ROUND((($F$36*2204.62)/2000*'Forage Insurance'!$E$18),3)</f>
        <v>1.99</v>
      </c>
      <c r="N78" s="563">
        <f>ROUND((($F$37*2204.62)/2000*'Forage Insurance'!$E$18),3)</f>
        <v>2.3029999999999999</v>
      </c>
      <c r="O78" s="563">
        <f>ROUND((($F$38*2204.62)/2000*'Forage Insurance'!$E$18),3)</f>
        <v>2.0760000000000001</v>
      </c>
    </row>
    <row r="79" spans="1:15" x14ac:dyDescent="0.2">
      <c r="A79" s="162" t="s">
        <v>138</v>
      </c>
      <c r="B79" s="233">
        <f t="shared" ref="B79:G79" si="44">ROUND(B78*0.8,3)</f>
        <v>1.647</v>
      </c>
      <c r="C79" s="233">
        <f t="shared" si="44"/>
        <v>1.575</v>
      </c>
      <c r="D79" s="233">
        <f t="shared" si="44"/>
        <v>1.5760000000000001</v>
      </c>
      <c r="E79" s="233">
        <f t="shared" si="44"/>
        <v>1.5920000000000001</v>
      </c>
      <c r="F79" s="233">
        <f t="shared" si="44"/>
        <v>1.8420000000000001</v>
      </c>
      <c r="G79" s="233">
        <f t="shared" si="44"/>
        <v>1.661</v>
      </c>
      <c r="I79" s="240" t="s">
        <v>138</v>
      </c>
      <c r="J79" s="233">
        <f>ROUND(J78*0.7,3)</f>
        <v>1.4410000000000001</v>
      </c>
      <c r="K79" s="233">
        <f t="shared" ref="K79:O79" si="45">ROUND(K78*0.7,3)</f>
        <v>1.3779999999999999</v>
      </c>
      <c r="L79" s="233">
        <f t="shared" si="45"/>
        <v>1.379</v>
      </c>
      <c r="M79" s="233">
        <f t="shared" si="45"/>
        <v>1.393</v>
      </c>
      <c r="N79" s="233">
        <f t="shared" si="45"/>
        <v>1.6120000000000001</v>
      </c>
      <c r="O79" s="233">
        <f t="shared" si="45"/>
        <v>1.4530000000000001</v>
      </c>
    </row>
    <row r="80" spans="1:15" x14ac:dyDescent="0.2">
      <c r="A80" s="162" t="s">
        <v>135</v>
      </c>
      <c r="B80" s="163">
        <f t="shared" ref="B80:G80" si="46">B79*$C$3</f>
        <v>273.42671299362252</v>
      </c>
      <c r="C80" s="163">
        <f t="shared" si="46"/>
        <v>261.47363264417453</v>
      </c>
      <c r="D80" s="163">
        <f t="shared" si="46"/>
        <v>261.63964764902795</v>
      </c>
      <c r="E80" s="163">
        <f t="shared" si="46"/>
        <v>264.29588772668308</v>
      </c>
      <c r="F80" s="163">
        <f t="shared" si="46"/>
        <v>305.79963894004413</v>
      </c>
      <c r="G80" s="163">
        <f t="shared" si="46"/>
        <v>275.75092306157075</v>
      </c>
      <c r="I80" s="240" t="s">
        <v>135</v>
      </c>
      <c r="J80" s="163">
        <f t="shared" ref="J80:O80" si="47">J79*$C$3</f>
        <v>239.22762199381302</v>
      </c>
      <c r="K80" s="163">
        <f t="shared" si="47"/>
        <v>228.76867668804601</v>
      </c>
      <c r="L80" s="163">
        <f t="shared" si="47"/>
        <v>228.93469169289946</v>
      </c>
      <c r="M80" s="163">
        <f t="shared" si="47"/>
        <v>231.25890176084769</v>
      </c>
      <c r="N80" s="163">
        <f t="shared" si="47"/>
        <v>267.61618782375194</v>
      </c>
      <c r="O80" s="163">
        <f t="shared" si="47"/>
        <v>241.21980205205435</v>
      </c>
    </row>
    <row r="81" spans="1:15" x14ac:dyDescent="0.2">
      <c r="A81" s="162" t="s">
        <v>126</v>
      </c>
      <c r="B81" s="163">
        <f>G$22</f>
        <v>9.2799999999999994</v>
      </c>
      <c r="C81" s="163">
        <f>G$23</f>
        <v>16.48</v>
      </c>
      <c r="D81" s="163">
        <f>G$24</f>
        <v>13.8</v>
      </c>
      <c r="E81" s="163">
        <f>G$25</f>
        <v>12.88</v>
      </c>
      <c r="F81" s="163">
        <f>G$26</f>
        <v>20.96</v>
      </c>
      <c r="G81" s="163">
        <f>G$27</f>
        <v>17.78</v>
      </c>
      <c r="I81" s="240" t="s">
        <v>126</v>
      </c>
      <c r="J81" s="163">
        <f>G$33</f>
        <v>6.18</v>
      </c>
      <c r="K81" s="163">
        <f>G$34</f>
        <v>11.36</v>
      </c>
      <c r="L81" s="163">
        <f>G$35</f>
        <v>9.27</v>
      </c>
      <c r="M81" s="163">
        <f>G$36</f>
        <v>8.6199999999999992</v>
      </c>
      <c r="N81" s="163">
        <f>G$37</f>
        <v>14.04</v>
      </c>
      <c r="O81" s="163">
        <f>G$38</f>
        <v>11.91</v>
      </c>
    </row>
    <row r="82" spans="1:15" x14ac:dyDescent="0.2">
      <c r="A82" s="162" t="s">
        <v>120</v>
      </c>
      <c r="B82" s="164">
        <f t="shared" ref="B82:G82" si="48">SUM(B81/B80)</f>
        <v>3.3939624619692695E-2</v>
      </c>
      <c r="C82" s="164">
        <f t="shared" si="48"/>
        <v>6.3027387631190909E-2</v>
      </c>
      <c r="D82" s="164">
        <f t="shared" si="48"/>
        <v>5.2744299742032125E-2</v>
      </c>
      <c r="E82" s="164">
        <f t="shared" si="48"/>
        <v>4.8733259192135538E-2</v>
      </c>
      <c r="F82" s="164">
        <f t="shared" si="48"/>
        <v>6.8541611339539454E-2</v>
      </c>
      <c r="G82" s="164">
        <f t="shared" si="48"/>
        <v>6.4478478630622796E-2</v>
      </c>
      <c r="I82" s="240" t="s">
        <v>120</v>
      </c>
      <c r="J82" s="164">
        <f t="shared" ref="J82:O82" si="49">SUM(J81/J80)</f>
        <v>2.5833137279439367E-2</v>
      </c>
      <c r="K82" s="164">
        <f t="shared" si="49"/>
        <v>4.965714784236281E-2</v>
      </c>
      <c r="L82" s="164">
        <f t="shared" si="49"/>
        <v>4.0491897193261926E-2</v>
      </c>
      <c r="M82" s="164">
        <f t="shared" si="49"/>
        <v>3.727424083728556E-2</v>
      </c>
      <c r="N82" s="164">
        <f t="shared" si="49"/>
        <v>5.2463194077207821E-2</v>
      </c>
      <c r="O82" s="164">
        <f t="shared" si="49"/>
        <v>4.937405593853305E-2</v>
      </c>
    </row>
    <row r="83" spans="1:15" ht="15.75" x14ac:dyDescent="0.25">
      <c r="A83" s="13" t="s">
        <v>137</v>
      </c>
      <c r="I83" s="46" t="s">
        <v>137</v>
      </c>
    </row>
    <row r="84" spans="1:15" x14ac:dyDescent="0.2">
      <c r="A84" s="1" t="s">
        <v>17</v>
      </c>
      <c r="B84" s="165">
        <f>IF('Summary (HIDE)'!$G$24-B80&lt;0,0,SUM('Summary (HIDE)'!$G$24-B80))</f>
        <v>0</v>
      </c>
      <c r="C84" s="165">
        <f>IF('Summary (HIDE)'!$G$24-C80&lt;0,0,SUM('Summary (HIDE)'!$G$24-C80))</f>
        <v>0</v>
      </c>
      <c r="D84" s="165">
        <f>IF('Summary (HIDE)'!$G$24-D80&lt;0,0,SUM('Summary (HIDE)'!$G$24-D80))</f>
        <v>0</v>
      </c>
      <c r="E84" s="165">
        <f>IF('Summary (HIDE)'!$G$24-E80&lt;0,0,SUM('Summary (HIDE)'!$G$24-E80))</f>
        <v>0</v>
      </c>
      <c r="F84" s="165">
        <f>IF('Summary (HIDE)'!$G$24-F80&lt;0,0,SUM('Summary (HIDE)'!$G$24-F80))</f>
        <v>0</v>
      </c>
      <c r="G84" s="165">
        <f>IF('Summary (HIDE)'!$G$24-G80&lt;0,0,SUM('Summary (HIDE)'!$G$24-G80))</f>
        <v>0</v>
      </c>
      <c r="I84" s="47" t="s">
        <v>17</v>
      </c>
      <c r="J84" s="165">
        <f>IF('Summary (HIDE)'!$G$24-J80&lt;0,0,SUM('Summary (HIDE)'!$G$24-J80))</f>
        <v>0</v>
      </c>
      <c r="K84" s="165">
        <f>IF('Summary (HIDE)'!$G$24-K80&lt;0,0,SUM('Summary (HIDE)'!$G$24-K80))</f>
        <v>0</v>
      </c>
      <c r="L84" s="165">
        <f>IF('Summary (HIDE)'!$G$24-L80&lt;0,0,SUM('Summary (HIDE)'!$G$24-L80))</f>
        <v>0</v>
      </c>
      <c r="M84" s="165">
        <f>IF('Summary (HIDE)'!$G$24-M80&lt;0,0,SUM('Summary (HIDE)'!$G$24-M80))</f>
        <v>0</v>
      </c>
      <c r="N84" s="165">
        <f>IF('Summary (HIDE)'!$G$24-N80&lt;0,0,SUM('Summary (HIDE)'!$G$24-N80))</f>
        <v>0</v>
      </c>
      <c r="O84" s="165">
        <f>IF('Summary (HIDE)'!$G$24-O80&lt;0,0,SUM('Summary (HIDE)'!$G$24-O80))</f>
        <v>0</v>
      </c>
    </row>
    <row r="85" spans="1:15" x14ac:dyDescent="0.2">
      <c r="A85" s="1" t="s">
        <v>121</v>
      </c>
      <c r="B85" s="167">
        <f>IF('Summary (HIDE)'!$G$31-B80&lt;0,0,SUM('Summary (HIDE)'!$G$31-B80))</f>
        <v>53.811984411335402</v>
      </c>
      <c r="C85" s="167">
        <f>IF('Summary (HIDE)'!$G$31-C80&lt;0,0,SUM('Summary (HIDE)'!$G$31-C80))</f>
        <v>65.765064760783389</v>
      </c>
      <c r="D85" s="167">
        <f>IF('Summary (HIDE)'!$G$31-D80&lt;0,0,SUM('Summary (HIDE)'!$G$31-D80))</f>
        <v>65.599049755929968</v>
      </c>
      <c r="E85" s="167">
        <f>IF('Summary (HIDE)'!$G$31-E80&lt;0,0,SUM('Summary (HIDE)'!$G$31-E80))</f>
        <v>62.942809678274841</v>
      </c>
      <c r="F85" s="167">
        <f>IF('Summary (HIDE)'!$G$31-F80&lt;0,0,SUM('Summary (HIDE)'!$G$31-F80))</f>
        <v>21.439058464913785</v>
      </c>
      <c r="G85" s="167">
        <f>IF('Summary (HIDE)'!$G$31-G80&lt;0,0,SUM('Summary (HIDE)'!$G$31-G80))</f>
        <v>51.487774343387173</v>
      </c>
      <c r="I85" s="47" t="s">
        <v>121</v>
      </c>
      <c r="J85" s="167">
        <f>IF('Summary (HIDE)'!$G$31-J80&lt;0,0,SUM('Summary (HIDE)'!$G$31-J80))</f>
        <v>88.011075411144901</v>
      </c>
      <c r="K85" s="167">
        <f>IF('Summary (HIDE)'!$G$31-K80&lt;0,0,SUM('Summary (HIDE)'!$G$31-K80))</f>
        <v>98.470020716911904</v>
      </c>
      <c r="L85" s="167">
        <f>IF('Summary (HIDE)'!$G$31-L80&lt;0,0,SUM('Summary (HIDE)'!$G$31-L80))</f>
        <v>98.304005712058455</v>
      </c>
      <c r="M85" s="167">
        <f>IF('Summary (HIDE)'!$G$31-M80&lt;0,0,SUM('Summary (HIDE)'!$G$31-M80))</f>
        <v>95.979795644110226</v>
      </c>
      <c r="N85" s="167">
        <f>IF('Summary (HIDE)'!$G$31-N80&lt;0,0,SUM('Summary (HIDE)'!$G$31-N80))</f>
        <v>59.622509581205975</v>
      </c>
      <c r="O85" s="167">
        <f>IF('Summary (HIDE)'!$G$31-O80&lt;0,0,SUM('Summary (HIDE)'!$G$31-O80))</f>
        <v>86.01889535290357</v>
      </c>
    </row>
    <row r="86" spans="1:15" x14ac:dyDescent="0.2">
      <c r="A86" s="1" t="s">
        <v>16</v>
      </c>
      <c r="B86" s="165">
        <f>IF('Summary (HIDE)'!$G$35-B80&lt;0,0,SUM('Summary (HIDE)'!$G$35-B80))</f>
        <v>83.811984411335402</v>
      </c>
      <c r="C86" s="165">
        <f>IF('Summary (HIDE)'!$G$35-C80&lt;0,0,SUM('Summary (HIDE)'!$G$35-C80))</f>
        <v>95.765064760783389</v>
      </c>
      <c r="D86" s="165">
        <f>IF('Summary (HIDE)'!$G$35-D80&lt;0,0,SUM('Summary (HIDE)'!$G$35-D80))</f>
        <v>95.599049755929968</v>
      </c>
      <c r="E86" s="165">
        <f>IF('Summary (HIDE)'!$G$35-E80&lt;0,0,SUM('Summary (HIDE)'!$G$35-E80))</f>
        <v>92.942809678274841</v>
      </c>
      <c r="F86" s="165">
        <f>IF('Summary (HIDE)'!$G$35-F80&lt;0,0,SUM('Summary (HIDE)'!$G$35-F80))</f>
        <v>51.439058464913785</v>
      </c>
      <c r="G86" s="165">
        <f>IF('Summary (HIDE)'!$G$35-G80&lt;0,0,SUM('Summary (HIDE)'!$G$35-G80))</f>
        <v>81.487774343387173</v>
      </c>
      <c r="I86" s="47" t="s">
        <v>16</v>
      </c>
      <c r="J86" s="165">
        <f>IF('Summary (HIDE)'!$G$35-J80&lt;0,0,SUM('Summary (HIDE)'!$G$35-J80))</f>
        <v>118.0110754111449</v>
      </c>
      <c r="K86" s="165">
        <f>IF('Summary (HIDE)'!$G$35-K80&lt;0,0,SUM('Summary (HIDE)'!$G$35-K80))</f>
        <v>128.4700207169119</v>
      </c>
      <c r="L86" s="165">
        <f>IF('Summary (HIDE)'!$G$35-L80&lt;0,0,SUM('Summary (HIDE)'!$G$35-L80))</f>
        <v>128.30400571205845</v>
      </c>
      <c r="M86" s="165">
        <f>IF('Summary (HIDE)'!$G$35-M80&lt;0,0,SUM('Summary (HIDE)'!$G$35-M80))</f>
        <v>125.97979564411023</v>
      </c>
      <c r="N86" s="165">
        <f>IF('Summary (HIDE)'!$G$35-N80&lt;0,0,SUM('Summary (HIDE)'!$G$35-N80))</f>
        <v>89.622509581205975</v>
      </c>
      <c r="O86" s="165">
        <f>IF('Summary (HIDE)'!$G$35-O80&lt;0,0,SUM('Summary (HIDE)'!$G$35-O80))</f>
        <v>116.01889535290357</v>
      </c>
    </row>
    <row r="87" spans="1:15" ht="15.75" x14ac:dyDescent="0.25">
      <c r="A87" s="13" t="s">
        <v>122</v>
      </c>
      <c r="I87" s="46" t="s">
        <v>122</v>
      </c>
    </row>
    <row r="88" spans="1:15" x14ac:dyDescent="0.2">
      <c r="A88" s="1" t="s">
        <v>17</v>
      </c>
      <c r="B88" s="166">
        <f>B80/'Summary (HIDE)'!$G$24</f>
        <v>1.2482748694406212</v>
      </c>
      <c r="C88" s="166">
        <f>C80/'Summary (HIDE)'!$G$24</f>
        <v>1.1937054762410311</v>
      </c>
      <c r="D88" s="166">
        <f>D80/'Summary (HIDE)'!$G$24</f>
        <v>1.1944633844799142</v>
      </c>
      <c r="E88" s="166">
        <f>E80/'Summary (HIDE)'!$G$24</f>
        <v>1.2065899163020453</v>
      </c>
      <c r="F88" s="166">
        <f>F80/'Summary (HIDE)'!$G$24</f>
        <v>1.3960669760228441</v>
      </c>
      <c r="G88" s="166">
        <f>G80/'Summary (HIDE)'!$G$24</f>
        <v>1.2588855847849858</v>
      </c>
      <c r="I88" s="47" t="s">
        <v>17</v>
      </c>
      <c r="J88" s="166">
        <f>J80/'Summary (HIDE)'!$G$24</f>
        <v>1.0921457722306831</v>
      </c>
      <c r="K88" s="166">
        <f>K80/'Summary (HIDE)'!$G$24</f>
        <v>1.0443975531810417</v>
      </c>
      <c r="L88" s="166">
        <f>L80/'Summary (HIDE)'!$G$24</f>
        <v>1.045155461419925</v>
      </c>
      <c r="M88" s="166">
        <f>M80/'Summary (HIDE)'!$G$24</f>
        <v>1.0557661767642896</v>
      </c>
      <c r="N88" s="166">
        <f>N80/'Summary (HIDE)'!$G$24</f>
        <v>1.2217480810797092</v>
      </c>
      <c r="O88" s="166">
        <f>O80/'Summary (HIDE)'!$G$24</f>
        <v>1.1012406710972813</v>
      </c>
    </row>
    <row r="89" spans="1:15" x14ac:dyDescent="0.2">
      <c r="A89" s="1" t="s">
        <v>16</v>
      </c>
      <c r="B89" s="166">
        <f>B80/'Summary (HIDE)'!$G$35</f>
        <v>0.76538940204362016</v>
      </c>
      <c r="C89" s="166">
        <f>C80/'Summary (HIDE)'!$G$35</f>
        <v>0.73192975605264221</v>
      </c>
      <c r="D89" s="166">
        <f>D80/'Summary (HIDE)'!$G$35</f>
        <v>0.7323944733580724</v>
      </c>
      <c r="E89" s="166">
        <f>E80/'Summary (HIDE)'!$G$35</f>
        <v>0.73982995024495646</v>
      </c>
      <c r="F89" s="166">
        <f>F80/'Summary (HIDE)'!$G$35</f>
        <v>0.8560092766025188</v>
      </c>
      <c r="G89" s="166">
        <f>G80/'Summary (HIDE)'!$G$35</f>
        <v>0.77189544431964374</v>
      </c>
      <c r="I89" s="47" t="s">
        <v>16</v>
      </c>
      <c r="J89" s="166">
        <f>J80/'Summary (HIDE)'!$G$35</f>
        <v>0.66965763712498894</v>
      </c>
      <c r="K89" s="166">
        <f>K80/'Summary (HIDE)'!$G$35</f>
        <v>0.64038044688288309</v>
      </c>
      <c r="L89" s="166">
        <f>L80/'Summary (HIDE)'!$G$35</f>
        <v>0.64084516418831339</v>
      </c>
      <c r="M89" s="166">
        <f>M80/'Summary (HIDE)'!$G$35</f>
        <v>0.64735120646433686</v>
      </c>
      <c r="N89" s="166">
        <f>N80/'Summary (HIDE)'!$G$35</f>
        <v>0.74912429635356137</v>
      </c>
      <c r="O89" s="166">
        <f>O80/'Summary (HIDE)'!$G$35</f>
        <v>0.67523424479015193</v>
      </c>
    </row>
    <row r="91" spans="1:15" ht="15.75" x14ac:dyDescent="0.25">
      <c r="A91" s="146" t="s">
        <v>33</v>
      </c>
      <c r="B91" s="230">
        <v>0.8</v>
      </c>
      <c r="C91" s="161"/>
      <c r="I91" s="146" t="s">
        <v>33</v>
      </c>
      <c r="J91" s="230">
        <v>0.7</v>
      </c>
      <c r="K91" s="161"/>
    </row>
    <row r="92" spans="1:15" ht="15.75" x14ac:dyDescent="0.25">
      <c r="A92" s="146" t="s">
        <v>128</v>
      </c>
      <c r="B92" s="607" t="s">
        <v>129</v>
      </c>
      <c r="C92" s="607"/>
      <c r="D92" s="607"/>
      <c r="E92" s="607"/>
      <c r="F92" s="607"/>
      <c r="G92" s="607"/>
      <c r="I92" s="146" t="s">
        <v>128</v>
      </c>
      <c r="J92" s="607" t="s">
        <v>129</v>
      </c>
      <c r="K92" s="607"/>
      <c r="L92" s="607"/>
      <c r="M92" s="607"/>
      <c r="N92" s="607"/>
      <c r="O92" s="607"/>
    </row>
    <row r="93" spans="1:15" x14ac:dyDescent="0.2">
      <c r="A93" s="136"/>
      <c r="B93" s="8" t="s">
        <v>142</v>
      </c>
      <c r="C93" s="8" t="s">
        <v>143</v>
      </c>
      <c r="D93" s="8" t="s">
        <v>144</v>
      </c>
      <c r="E93" s="8" t="s">
        <v>145</v>
      </c>
      <c r="F93" s="8" t="s">
        <v>146</v>
      </c>
      <c r="G93" s="8" t="s">
        <v>147</v>
      </c>
      <c r="I93" s="136"/>
      <c r="J93" s="8" t="s">
        <v>142</v>
      </c>
      <c r="K93" s="8" t="s">
        <v>143</v>
      </c>
      <c r="L93" s="8" t="s">
        <v>144</v>
      </c>
      <c r="M93" s="8" t="s">
        <v>145</v>
      </c>
      <c r="N93" s="8" t="s">
        <v>146</v>
      </c>
      <c r="O93" s="8" t="s">
        <v>147</v>
      </c>
    </row>
    <row r="94" spans="1:15" x14ac:dyDescent="0.2">
      <c r="A94" s="564" t="s">
        <v>307</v>
      </c>
      <c r="B94" s="563">
        <f>ROUND((($H$22*2204.62)/2000),3)</f>
        <v>1.39</v>
      </c>
      <c r="C94" s="563">
        <f>ROUND((($H$23*2204.62)/2000),3)</f>
        <v>1.333</v>
      </c>
      <c r="D94" s="563">
        <f>ROUND((($H$24*2204.62)/2000),3)</f>
        <v>1.458</v>
      </c>
      <c r="E94" s="563">
        <f>ROUND((($H$25*2204.62)/2000),3)</f>
        <v>1.409</v>
      </c>
      <c r="F94" s="563">
        <f>ROUND((($H$26*2204.62)/2000),3)</f>
        <v>1.597</v>
      </c>
      <c r="G94" s="563">
        <f>ROUND((($H$27*2204.62)/2000),3)</f>
        <v>1.304</v>
      </c>
      <c r="I94" s="564" t="s">
        <v>307</v>
      </c>
      <c r="J94" s="563">
        <f>ROUND((($H$33*2204.62)/2000),3)</f>
        <v>1.39</v>
      </c>
      <c r="K94" s="563">
        <f>ROUND((($H$34*2204.62)/2000),3)</f>
        <v>1.333</v>
      </c>
      <c r="L94" s="563">
        <f>ROUND((($H$35*2204.62)/2000),3)</f>
        <v>1.458</v>
      </c>
      <c r="M94" s="563">
        <f>ROUND((($H$36*2204.62)/2000),3)</f>
        <v>1.409</v>
      </c>
      <c r="N94" s="563">
        <f>ROUND((($H$37*2204.62)/2000),3)</f>
        <v>1.597</v>
      </c>
      <c r="O94" s="563">
        <f>ROUND((($H$38*2204.62)/2000),3)</f>
        <v>1.304</v>
      </c>
    </row>
    <row r="95" spans="1:15" x14ac:dyDescent="0.2">
      <c r="A95" s="162" t="s">
        <v>136</v>
      </c>
      <c r="B95" s="563">
        <f>ROUND((($H$22*2204.62)/2000*'Forage Insurance'!$D$18),3)</f>
        <v>1.39</v>
      </c>
      <c r="C95" s="563">
        <f>ROUND((($H$23*2204.62)/2000*'Forage Insurance'!$D$18),3)</f>
        <v>1.333</v>
      </c>
      <c r="D95" s="563">
        <f>ROUND((($H$24*2204.62)/2000*'Forage Insurance'!$D$18),3)</f>
        <v>1.458</v>
      </c>
      <c r="E95" s="563">
        <f>ROUND((($H$25*2204.62)/2000*'Forage Insurance'!$D$18),3)</f>
        <v>1.409</v>
      </c>
      <c r="F95" s="563">
        <f>ROUND((($H$26*2204.62)/2000*'Forage Insurance'!$D$18),3)</f>
        <v>1.597</v>
      </c>
      <c r="G95" s="563">
        <f>ROUND((($H$27*2204.62)/2000*'Forage Insurance'!$D$18),3)</f>
        <v>1.304</v>
      </c>
      <c r="I95" s="240" t="s">
        <v>136</v>
      </c>
      <c r="J95" s="563">
        <f>ROUND((($H$33*2204.62)/2000*'Forage Insurance'!$D$18),3)</f>
        <v>1.39</v>
      </c>
      <c r="K95" s="563">
        <f>ROUND((($H$34*2204.62)/2000*'Forage Insurance'!$D$18),3)</f>
        <v>1.333</v>
      </c>
      <c r="L95" s="563">
        <f>ROUND((($H$35*2204.62)/2000*'Forage Insurance'!$D$18),3)</f>
        <v>1.458</v>
      </c>
      <c r="M95" s="563">
        <f>ROUND((($H$36*2204.62)/2000*'Forage Insurance'!$D$18),3)</f>
        <v>1.409</v>
      </c>
      <c r="N95" s="563">
        <f>ROUND((($H$37*2204.62)/2000*'Forage Insurance'!$D$18),3)</f>
        <v>1.597</v>
      </c>
      <c r="O95" s="563">
        <f>ROUND((($H$38*2204.62)/2000*'Forage Insurance'!$D$18),3)</f>
        <v>1.304</v>
      </c>
    </row>
    <row r="96" spans="1:15" x14ac:dyDescent="0.2">
      <c r="A96" s="162" t="s">
        <v>138</v>
      </c>
      <c r="B96" s="233">
        <f t="shared" ref="B96:G96" si="50">ROUND(B95*0.8,3)</f>
        <v>1.1120000000000001</v>
      </c>
      <c r="C96" s="233">
        <f t="shared" si="50"/>
        <v>1.0660000000000001</v>
      </c>
      <c r="D96" s="233">
        <f t="shared" si="50"/>
        <v>1.1659999999999999</v>
      </c>
      <c r="E96" s="233">
        <f t="shared" si="50"/>
        <v>1.127</v>
      </c>
      <c r="F96" s="233">
        <f t="shared" si="50"/>
        <v>1.278</v>
      </c>
      <c r="G96" s="233">
        <f t="shared" si="50"/>
        <v>1.0429999999999999</v>
      </c>
      <c r="I96" s="240" t="s">
        <v>138</v>
      </c>
      <c r="J96" s="233">
        <f>ROUND(J95*0.7,3)</f>
        <v>0.97299999999999998</v>
      </c>
      <c r="K96" s="233">
        <f t="shared" ref="K96:O96" si="51">ROUND(K95*0.7,3)</f>
        <v>0.93300000000000005</v>
      </c>
      <c r="L96" s="233">
        <f t="shared" si="51"/>
        <v>1.0209999999999999</v>
      </c>
      <c r="M96" s="233">
        <f t="shared" si="51"/>
        <v>0.98599999999999999</v>
      </c>
      <c r="N96" s="233">
        <f t="shared" si="51"/>
        <v>1.1180000000000001</v>
      </c>
      <c r="O96" s="233">
        <f t="shared" si="51"/>
        <v>0.91300000000000003</v>
      </c>
    </row>
    <row r="97" spans="1:15" x14ac:dyDescent="0.2">
      <c r="A97" s="162" t="s">
        <v>135</v>
      </c>
      <c r="B97" s="163">
        <f t="shared" ref="B97:G97" si="52">B96*$C$3</f>
        <v>184.60868539702989</v>
      </c>
      <c r="C97" s="163">
        <f t="shared" si="52"/>
        <v>176.97199517377146</v>
      </c>
      <c r="D97" s="163">
        <f t="shared" si="52"/>
        <v>193.57349565911585</v>
      </c>
      <c r="E97" s="163">
        <f t="shared" si="52"/>
        <v>187.09891046983154</v>
      </c>
      <c r="F97" s="163">
        <f t="shared" si="52"/>
        <v>212.16717620270163</v>
      </c>
      <c r="G97" s="163">
        <f t="shared" si="52"/>
        <v>173.15365006214222</v>
      </c>
      <c r="I97" s="240" t="s">
        <v>135</v>
      </c>
      <c r="J97" s="163">
        <f t="shared" ref="J97:O97" si="53">J96*$C$3</f>
        <v>161.53259972240113</v>
      </c>
      <c r="K97" s="163">
        <f t="shared" si="53"/>
        <v>154.8919995282634</v>
      </c>
      <c r="L97" s="163">
        <f t="shared" si="53"/>
        <v>169.50131995536645</v>
      </c>
      <c r="M97" s="163">
        <f t="shared" si="53"/>
        <v>163.69079478549591</v>
      </c>
      <c r="N97" s="163">
        <f t="shared" si="53"/>
        <v>185.60477542615055</v>
      </c>
      <c r="O97" s="163">
        <f t="shared" si="53"/>
        <v>151.5716994311945</v>
      </c>
    </row>
    <row r="98" spans="1:15" x14ac:dyDescent="0.2">
      <c r="A98" s="162" t="s">
        <v>126</v>
      </c>
      <c r="B98" s="163">
        <f>I$22</f>
        <v>9.2799999999999994</v>
      </c>
      <c r="C98" s="163">
        <f>I$23</f>
        <v>16.48</v>
      </c>
      <c r="D98" s="163">
        <f>I$24</f>
        <v>13.8</v>
      </c>
      <c r="E98" s="163">
        <f>I$25</f>
        <v>12.88</v>
      </c>
      <c r="F98" s="163">
        <f>I$26</f>
        <v>20.96</v>
      </c>
      <c r="G98" s="163">
        <f>I$27</f>
        <v>17.78</v>
      </c>
      <c r="I98" s="240" t="s">
        <v>126</v>
      </c>
      <c r="J98" s="163">
        <f>I$33</f>
        <v>6.18</v>
      </c>
      <c r="K98" s="163">
        <f>I$34</f>
        <v>11.36</v>
      </c>
      <c r="L98" s="163">
        <f>I$35</f>
        <v>9.27</v>
      </c>
      <c r="M98" s="163">
        <f>I$36</f>
        <v>8.6199999999999992</v>
      </c>
      <c r="N98" s="163">
        <f>I$37</f>
        <v>14.04</v>
      </c>
      <c r="O98" s="163">
        <f>I$38</f>
        <v>11.91</v>
      </c>
    </row>
    <row r="99" spans="1:15" x14ac:dyDescent="0.2">
      <c r="A99" s="162" t="s">
        <v>120</v>
      </c>
      <c r="B99" s="164">
        <f t="shared" ref="B99:G99" si="54">SUM(B98/B97)</f>
        <v>5.0268490781145571E-2</v>
      </c>
      <c r="C99" s="164">
        <f t="shared" si="54"/>
        <v>9.312207834814791E-2</v>
      </c>
      <c r="D99" s="164">
        <f t="shared" si="54"/>
        <v>7.1290751623878754E-2</v>
      </c>
      <c r="E99" s="164">
        <f t="shared" si="54"/>
        <v>6.884059328649493E-2</v>
      </c>
      <c r="F99" s="164">
        <f t="shared" si="54"/>
        <v>9.8790021977646081E-2</v>
      </c>
      <c r="G99" s="164">
        <f t="shared" si="54"/>
        <v>0.10268336817398321</v>
      </c>
      <c r="I99" s="240" t="s">
        <v>120</v>
      </c>
      <c r="J99" s="164">
        <f t="shared" ref="J99:O99" si="55">SUM(J98/J97)</f>
        <v>3.8258531161019661E-2</v>
      </c>
      <c r="K99" s="164">
        <f t="shared" si="55"/>
        <v>7.3341425216265743E-2</v>
      </c>
      <c r="L99" s="164">
        <f t="shared" si="55"/>
        <v>5.468983959795122E-2</v>
      </c>
      <c r="M99" s="164">
        <f t="shared" si="55"/>
        <v>5.2660261142331431E-2</v>
      </c>
      <c r="N99" s="164">
        <f t="shared" si="55"/>
        <v>7.564460541364848E-2</v>
      </c>
      <c r="O99" s="164">
        <f t="shared" si="55"/>
        <v>7.8576673908749742E-2</v>
      </c>
    </row>
    <row r="100" spans="1:15" ht="15.75" x14ac:dyDescent="0.25">
      <c r="A100" s="13" t="s">
        <v>137</v>
      </c>
      <c r="I100" s="72" t="s">
        <v>137</v>
      </c>
    </row>
    <row r="101" spans="1:15" x14ac:dyDescent="0.2">
      <c r="A101" s="1" t="s">
        <v>17</v>
      </c>
      <c r="B101" s="165">
        <f>IF('Summary (HIDE)'!$G$24-B97&lt;0,0,SUM('Summary (HIDE)'!$G$24-B97))</f>
        <v>34.434988145922176</v>
      </c>
      <c r="C101" s="165">
        <f>IF('Summary (HIDE)'!$G$24-C97&lt;0,0,SUM('Summary (HIDE)'!$G$24-C97))</f>
        <v>42.071678369180603</v>
      </c>
      <c r="D101" s="165">
        <f>IF('Summary (HIDE)'!$G$24-D97&lt;0,0,SUM('Summary (HIDE)'!$G$24-D97))</f>
        <v>25.470177883836215</v>
      </c>
      <c r="E101" s="165">
        <f>IF('Summary (HIDE)'!$G$24-E97&lt;0,0,SUM('Summary (HIDE)'!$G$24-E97))</f>
        <v>31.944763073120527</v>
      </c>
      <c r="F101" s="165">
        <f>IF('Summary (HIDE)'!$G$24-F97&lt;0,0,SUM('Summary (HIDE)'!$G$24-F97))</f>
        <v>6.8764973402504381</v>
      </c>
      <c r="G101" s="165">
        <f>IF('Summary (HIDE)'!$G$24-G97&lt;0,0,SUM('Summary (HIDE)'!$G$24-G97))</f>
        <v>45.890023480809845</v>
      </c>
      <c r="I101" s="18" t="s">
        <v>17</v>
      </c>
      <c r="J101" s="165">
        <f>IF('Summary (HIDE)'!$G$24-J97&lt;0,0,SUM('Summary (HIDE)'!$G$24-J97))</f>
        <v>57.511073820550934</v>
      </c>
      <c r="K101" s="165">
        <f>IF('Summary (HIDE)'!$G$24-K97&lt;0,0,SUM('Summary (HIDE)'!$G$24-K97))</f>
        <v>64.151674014688666</v>
      </c>
      <c r="L101" s="165">
        <f>IF('Summary (HIDE)'!$G$24-L97&lt;0,0,SUM('Summary (HIDE)'!$G$24-L97))</f>
        <v>49.542353587585609</v>
      </c>
      <c r="M101" s="165">
        <f>IF('Summary (HIDE)'!$G$24-M97&lt;0,0,SUM('Summary (HIDE)'!$G$24-M97))</f>
        <v>55.352878757456153</v>
      </c>
      <c r="N101" s="165">
        <f>IF('Summary (HIDE)'!$G$24-N97&lt;0,0,SUM('Summary (HIDE)'!$G$24-N97))</f>
        <v>33.438898116801511</v>
      </c>
      <c r="O101" s="165">
        <f>IF('Summary (HIDE)'!$G$24-O97&lt;0,0,SUM('Summary (HIDE)'!$G$24-O97))</f>
        <v>67.471974111757561</v>
      </c>
    </row>
    <row r="102" spans="1:15" x14ac:dyDescent="0.2">
      <c r="A102" s="1" t="s">
        <v>121</v>
      </c>
      <c r="B102" s="167">
        <f>IF('Summary (HIDE)'!$G$31-B97&lt;0,0,SUM('Summary (HIDE)'!$G$31-B97))</f>
        <v>142.63001200792803</v>
      </c>
      <c r="C102" s="167">
        <f>IF('Summary (HIDE)'!$G$31-C97&lt;0,0,SUM('Summary (HIDE)'!$G$31-C97))</f>
        <v>150.26670223118646</v>
      </c>
      <c r="D102" s="167">
        <f>IF('Summary (HIDE)'!$G$31-D97&lt;0,0,SUM('Summary (HIDE)'!$G$31-D97))</f>
        <v>133.66520174584207</v>
      </c>
      <c r="E102" s="167">
        <f>IF('Summary (HIDE)'!$G$31-E97&lt;0,0,SUM('Summary (HIDE)'!$G$31-E97))</f>
        <v>140.13978693512638</v>
      </c>
      <c r="F102" s="167">
        <f>IF('Summary (HIDE)'!$G$31-F97&lt;0,0,SUM('Summary (HIDE)'!$G$31-F97))</f>
        <v>115.07152120225629</v>
      </c>
      <c r="G102" s="167">
        <f>IF('Summary (HIDE)'!$G$31-G97&lt;0,0,SUM('Summary (HIDE)'!$G$31-G97))</f>
        <v>154.0850473428157</v>
      </c>
      <c r="I102" s="18" t="s">
        <v>121</v>
      </c>
      <c r="J102" s="167">
        <f>IF('Summary (HIDE)'!$G$31-J97&lt;0,0,SUM('Summary (HIDE)'!$G$31-J97))</f>
        <v>165.70609768255679</v>
      </c>
      <c r="K102" s="167">
        <f>IF('Summary (HIDE)'!$G$31-K97&lt;0,0,SUM('Summary (HIDE)'!$G$31-K97))</f>
        <v>172.34669787669452</v>
      </c>
      <c r="L102" s="167">
        <f>IF('Summary (HIDE)'!$G$31-L97&lt;0,0,SUM('Summary (HIDE)'!$G$31-L97))</f>
        <v>157.73737744959146</v>
      </c>
      <c r="M102" s="167">
        <f>IF('Summary (HIDE)'!$G$31-M97&lt;0,0,SUM('Summary (HIDE)'!$G$31-M97))</f>
        <v>163.54790261946201</v>
      </c>
      <c r="N102" s="167">
        <f>IF('Summary (HIDE)'!$G$31-N97&lt;0,0,SUM('Summary (HIDE)'!$G$31-N97))</f>
        <v>141.63392197880736</v>
      </c>
      <c r="O102" s="167">
        <f>IF('Summary (HIDE)'!$G$31-O97&lt;0,0,SUM('Summary (HIDE)'!$G$31-O97))</f>
        <v>175.66699797376342</v>
      </c>
    </row>
    <row r="103" spans="1:15" x14ac:dyDescent="0.2">
      <c r="A103" s="1" t="s">
        <v>16</v>
      </c>
      <c r="B103" s="165">
        <f>IF('Summary (HIDE)'!$G$35-B97&lt;0,0,SUM('Summary (HIDE)'!$G$35-B97))</f>
        <v>172.63001200792803</v>
      </c>
      <c r="C103" s="165">
        <f>IF('Summary (HIDE)'!$G$35-C97&lt;0,0,SUM('Summary (HIDE)'!$G$35-C97))</f>
        <v>180.26670223118646</v>
      </c>
      <c r="D103" s="165">
        <f>IF('Summary (HIDE)'!$G$35-D97&lt;0,0,SUM('Summary (HIDE)'!$G$35-D97))</f>
        <v>163.66520174584207</v>
      </c>
      <c r="E103" s="165">
        <f>IF('Summary (HIDE)'!$G$35-E97&lt;0,0,SUM('Summary (HIDE)'!$G$35-E97))</f>
        <v>170.13978693512638</v>
      </c>
      <c r="F103" s="165">
        <f>IF('Summary (HIDE)'!$G$35-F97&lt;0,0,SUM('Summary (HIDE)'!$G$35-F97))</f>
        <v>145.07152120225629</v>
      </c>
      <c r="G103" s="165">
        <f>IF('Summary (HIDE)'!$G$35-G97&lt;0,0,SUM('Summary (HIDE)'!$G$35-G97))</f>
        <v>184.0850473428157</v>
      </c>
      <c r="I103" s="18" t="s">
        <v>16</v>
      </c>
      <c r="J103" s="165">
        <f>IF('Summary (HIDE)'!$G$35-J97&lt;0,0,SUM('Summary (HIDE)'!$G$35-J97))</f>
        <v>195.70609768255679</v>
      </c>
      <c r="K103" s="165">
        <f>IF('Summary (HIDE)'!$G$35-K97&lt;0,0,SUM('Summary (HIDE)'!$G$35-K97))</f>
        <v>202.34669787669452</v>
      </c>
      <c r="L103" s="165">
        <f>IF('Summary (HIDE)'!$G$35-L97&lt;0,0,SUM('Summary (HIDE)'!$G$35-L97))</f>
        <v>187.73737744959146</v>
      </c>
      <c r="M103" s="165">
        <f>IF('Summary (HIDE)'!$G$35-M97&lt;0,0,SUM('Summary (HIDE)'!$G$35-M97))</f>
        <v>193.54790261946201</v>
      </c>
      <c r="N103" s="165">
        <f>IF('Summary (HIDE)'!$G$35-N97&lt;0,0,SUM('Summary (HIDE)'!$G$35-N97))</f>
        <v>171.63392197880736</v>
      </c>
      <c r="O103" s="165">
        <f>IF('Summary (HIDE)'!$G$35-O97&lt;0,0,SUM('Summary (HIDE)'!$G$35-O97))</f>
        <v>205.66699797376342</v>
      </c>
    </row>
    <row r="104" spans="1:15" ht="15.75" x14ac:dyDescent="0.25">
      <c r="A104" s="13" t="s">
        <v>122</v>
      </c>
      <c r="I104" s="72" t="s">
        <v>122</v>
      </c>
    </row>
    <row r="105" spans="1:15" x14ac:dyDescent="0.2">
      <c r="A105" s="1" t="s">
        <v>17</v>
      </c>
      <c r="B105" s="166">
        <f>B97/'Summary (HIDE)'!$G$24</f>
        <v>0.84279396163811204</v>
      </c>
      <c r="C105" s="166">
        <f>C97/'Summary (HIDE)'!$G$24</f>
        <v>0.80793018264948513</v>
      </c>
      <c r="D105" s="166">
        <f>D97/'Summary (HIDE)'!$G$24</f>
        <v>0.8837210065378045</v>
      </c>
      <c r="E105" s="166">
        <f>E97/'Summary (HIDE)'!$G$24</f>
        <v>0.8541625852213599</v>
      </c>
      <c r="F105" s="166">
        <f>F97/'Summary (HIDE)'!$G$24</f>
        <v>0.9686067292927224</v>
      </c>
      <c r="G105" s="166">
        <f>G97/'Summary (HIDE)'!$G$24</f>
        <v>0.79049829315517162</v>
      </c>
      <c r="I105" s="18" t="s">
        <v>17</v>
      </c>
      <c r="J105" s="166">
        <f>J97/'Summary (HIDE)'!$G$24</f>
        <v>0.73744471643334797</v>
      </c>
      <c r="K105" s="166">
        <f>K97/'Summary (HIDE)'!$G$24</f>
        <v>0.70712838687802038</v>
      </c>
      <c r="L105" s="166">
        <f>L97/'Summary (HIDE)'!$G$24</f>
        <v>0.77382431189974132</v>
      </c>
      <c r="M105" s="166">
        <f>M97/'Summary (HIDE)'!$G$24</f>
        <v>0.7472975235388295</v>
      </c>
      <c r="N105" s="166">
        <f>N97/'Summary (HIDE)'!$G$24</f>
        <v>0.84734141107141125</v>
      </c>
      <c r="O105" s="166">
        <f>O97/'Summary (HIDE)'!$G$24</f>
        <v>0.69197022210035641</v>
      </c>
    </row>
    <row r="106" spans="1:15" x14ac:dyDescent="0.2">
      <c r="A106" s="1" t="s">
        <v>16</v>
      </c>
      <c r="B106" s="166">
        <f>B97/'Summary (HIDE)'!$G$35</f>
        <v>0.51676564363843691</v>
      </c>
      <c r="C106" s="166">
        <f>C97/'Summary (HIDE)'!$G$35</f>
        <v>0.49538864758864548</v>
      </c>
      <c r="D106" s="166">
        <f>D97/'Summary (HIDE)'!$G$35</f>
        <v>0.54186037813167032</v>
      </c>
      <c r="E106" s="166">
        <f>E97/'Summary (HIDE)'!$G$35</f>
        <v>0.52373640321989068</v>
      </c>
      <c r="F106" s="166">
        <f>F97/'Summary (HIDE)'!$G$35</f>
        <v>0.59390871633985831</v>
      </c>
      <c r="G106" s="166">
        <f>G97/'Summary (HIDE)'!$G$35</f>
        <v>0.48470014956374968</v>
      </c>
      <c r="I106" s="18" t="s">
        <v>16</v>
      </c>
      <c r="J106" s="166">
        <f>J97/'Summary (HIDE)'!$G$35</f>
        <v>0.45216993818363227</v>
      </c>
      <c r="K106" s="166">
        <f>K97/'Summary (HIDE)'!$G$35</f>
        <v>0.43358124596642239</v>
      </c>
      <c r="L106" s="166">
        <f>L97/'Summary (HIDE)'!$G$35</f>
        <v>0.47447636884428424</v>
      </c>
      <c r="M106" s="166">
        <f>M97/'Summary (HIDE)'!$G$35</f>
        <v>0.4582112631542255</v>
      </c>
      <c r="N106" s="166">
        <f>N97/'Summary (HIDE)'!$G$35</f>
        <v>0.51955394747101846</v>
      </c>
      <c r="O106" s="166">
        <f>O97/'Summary (HIDE)'!$G$35</f>
        <v>0.42428689985781737</v>
      </c>
    </row>
    <row r="108" spans="1:15" ht="15.75" x14ac:dyDescent="0.25">
      <c r="A108" s="146" t="s">
        <v>139</v>
      </c>
      <c r="B108" s="161"/>
      <c r="C108" s="161"/>
      <c r="H108" s="18"/>
      <c r="I108" s="146" t="s">
        <v>139</v>
      </c>
      <c r="J108" s="161"/>
      <c r="K108" s="161"/>
    </row>
    <row r="109" spans="1:15" ht="15.75" x14ac:dyDescent="0.25">
      <c r="A109" s="146" t="s">
        <v>127</v>
      </c>
      <c r="B109" s="161"/>
      <c r="C109" s="161"/>
      <c r="H109" s="18"/>
      <c r="I109" s="146" t="s">
        <v>127</v>
      </c>
      <c r="J109" s="161"/>
      <c r="K109" s="161"/>
    </row>
    <row r="110" spans="1:15" ht="15.75" x14ac:dyDescent="0.25">
      <c r="A110" s="146" t="str">
        <f>"Low - $"&amp;B9&amp;"/tonne"</f>
        <v>Low - $67/tonne</v>
      </c>
      <c r="B110" s="607" t="s">
        <v>129</v>
      </c>
      <c r="C110" s="607"/>
      <c r="D110" s="607"/>
      <c r="E110" s="607"/>
      <c r="F110" s="607"/>
      <c r="G110" s="607"/>
      <c r="H110" s="18"/>
      <c r="I110" s="146" t="str">
        <f>"High - $"&amp;B10&amp;"/tonne"</f>
        <v>High - $111/tonne</v>
      </c>
      <c r="J110" s="607" t="s">
        <v>129</v>
      </c>
      <c r="K110" s="607"/>
      <c r="L110" s="607"/>
      <c r="M110" s="607"/>
      <c r="N110" s="607"/>
      <c r="O110" s="607"/>
    </row>
    <row r="111" spans="1:15" x14ac:dyDescent="0.2">
      <c r="A111" s="559"/>
      <c r="B111" s="8" t="s">
        <v>142</v>
      </c>
      <c r="C111" s="8" t="s">
        <v>143</v>
      </c>
      <c r="D111" s="8" t="s">
        <v>144</v>
      </c>
      <c r="E111" s="8" t="s">
        <v>145</v>
      </c>
      <c r="F111" s="8" t="s">
        <v>146</v>
      </c>
      <c r="G111" s="8" t="s">
        <v>147</v>
      </c>
      <c r="H111" s="18"/>
      <c r="I111" s="136"/>
      <c r="J111" s="8" t="s">
        <v>142</v>
      </c>
      <c r="K111" s="8" t="s">
        <v>143</v>
      </c>
      <c r="L111" s="8" t="s">
        <v>144</v>
      </c>
      <c r="M111" s="8" t="s">
        <v>145</v>
      </c>
      <c r="N111" s="8" t="s">
        <v>146</v>
      </c>
      <c r="O111" s="8" t="s">
        <v>147</v>
      </c>
    </row>
    <row r="112" spans="1:15" x14ac:dyDescent="0.2">
      <c r="A112" s="564" t="s">
        <v>307</v>
      </c>
      <c r="B112" s="563">
        <f>ROUND((($N$22*2204.62)/2000),3)</f>
        <v>1.478</v>
      </c>
      <c r="C112" s="563">
        <f>ROUND((($N$23*2204.62)/2000),3)</f>
        <v>1.379</v>
      </c>
      <c r="D112" s="563">
        <f>ROUND((($N$24*2204.62)/2000),3)</f>
        <v>1.4450000000000001</v>
      </c>
      <c r="E112" s="563">
        <f>ROUND((($N$25*2204.62)/2000),3)</f>
        <v>1.5109999999999999</v>
      </c>
      <c r="F112" s="563">
        <f>ROUND((($N$26*2204.62)/2000),3)</f>
        <v>1.79</v>
      </c>
      <c r="G112" s="563">
        <f>ROUND((($N$27*2204.62)/2000),3)</f>
        <v>1.4970000000000001</v>
      </c>
      <c r="H112" s="18"/>
      <c r="I112" s="564" t="s">
        <v>307</v>
      </c>
      <c r="J112" s="563">
        <f>ROUND((($N$33*2204.62)/2000),3)</f>
        <v>1.478</v>
      </c>
      <c r="K112" s="563">
        <f>ROUND((($N$34*2204.62)/2000),3)</f>
        <v>1.379</v>
      </c>
      <c r="L112" s="563">
        <f>ROUND((($N$35*2204.62)/2000),3)</f>
        <v>1.4450000000000001</v>
      </c>
      <c r="M112" s="563">
        <f>ROUND((($N$36*2204.62)/2000),3)</f>
        <v>1.5109999999999999</v>
      </c>
      <c r="N112" s="563">
        <f>ROUND((($N$37*2204.62)/2000),3)</f>
        <v>1.79</v>
      </c>
      <c r="O112" s="563">
        <f>ROUND((($N$38*2204.62)/2000),3)</f>
        <v>1.4970000000000001</v>
      </c>
    </row>
    <row r="113" spans="1:16" x14ac:dyDescent="0.2">
      <c r="A113" s="560" t="s">
        <v>136</v>
      </c>
      <c r="B113" s="563">
        <f>ROUND((($N$22*2204.62)/2000*'Forage Insurance'!$C$18),3)</f>
        <v>1.478</v>
      </c>
      <c r="C113" s="563">
        <f>ROUND((($N$23*2204.62)/2000*'Forage Insurance'!$C$18),3)</f>
        <v>1.379</v>
      </c>
      <c r="D113" s="563">
        <f>ROUND((($N$24*2204.62)/2000*'Forage Insurance'!$C$18),3)</f>
        <v>1.4450000000000001</v>
      </c>
      <c r="E113" s="563">
        <f>ROUND((($N$25*2204.62)/2000*'Forage Insurance'!$C$18),3)</f>
        <v>1.5109999999999999</v>
      </c>
      <c r="F113" s="563">
        <f>ROUND((($N$26*2204.62)/2000*'Forage Insurance'!$C$18),3)</f>
        <v>1.79</v>
      </c>
      <c r="G113" s="563">
        <f>ROUND((($N$27*2204.62)/2000*'Forage Insurance'!$C$18),3)</f>
        <v>1.4970000000000001</v>
      </c>
      <c r="H113" s="18"/>
      <c r="I113" s="162" t="s">
        <v>136</v>
      </c>
      <c r="J113" s="563">
        <f>ROUND((($N$33*2204.62)/2000*'Forage Insurance'!$C$18),3)</f>
        <v>1.478</v>
      </c>
      <c r="K113" s="563">
        <f>ROUND((($N$34*2204.62)/2000*'Forage Insurance'!$C$18),3)</f>
        <v>1.379</v>
      </c>
      <c r="L113" s="563">
        <f>ROUND((($N$35*2204.62)/2000*'Forage Insurance'!$C$18),3)</f>
        <v>1.4450000000000001</v>
      </c>
      <c r="M113" s="563">
        <f>ROUND((($N$36*2204.62)/2000*'Forage Insurance'!$C$18),3)</f>
        <v>1.5109999999999999</v>
      </c>
      <c r="N113" s="563">
        <f>ROUND((($N$37*2204.62)/2000*'Forage Insurance'!$C$18),3)</f>
        <v>1.79</v>
      </c>
      <c r="O113" s="563">
        <f>ROUND((($N$38*2204.62)/2000*'Forage Insurance'!$C$18),3)</f>
        <v>1.4970000000000001</v>
      </c>
    </row>
    <row r="114" spans="1:16" x14ac:dyDescent="0.2">
      <c r="A114" s="560" t="s">
        <v>138</v>
      </c>
      <c r="B114" s="206">
        <f t="shared" ref="B114:G114" si="56">ROUND(B113*0.8,3)</f>
        <v>1.1819999999999999</v>
      </c>
      <c r="C114" s="206">
        <f t="shared" si="56"/>
        <v>1.103</v>
      </c>
      <c r="D114" s="206">
        <f t="shared" si="56"/>
        <v>1.1559999999999999</v>
      </c>
      <c r="E114" s="206">
        <f t="shared" si="56"/>
        <v>1.2090000000000001</v>
      </c>
      <c r="F114" s="206">
        <f t="shared" si="56"/>
        <v>1.4319999999999999</v>
      </c>
      <c r="G114" s="206">
        <f t="shared" si="56"/>
        <v>1.198</v>
      </c>
      <c r="H114" s="18"/>
      <c r="I114" s="162" t="s">
        <v>138</v>
      </c>
      <c r="J114" s="206">
        <f t="shared" ref="J114:O114" si="57">ROUND(J113*0.8,3)</f>
        <v>1.1819999999999999</v>
      </c>
      <c r="K114" s="206">
        <f t="shared" si="57"/>
        <v>1.103</v>
      </c>
      <c r="L114" s="206">
        <f t="shared" si="57"/>
        <v>1.1559999999999999</v>
      </c>
      <c r="M114" s="206">
        <f t="shared" si="57"/>
        <v>1.2090000000000001</v>
      </c>
      <c r="N114" s="206">
        <f t="shared" si="57"/>
        <v>1.4319999999999999</v>
      </c>
      <c r="O114" s="206">
        <f t="shared" si="57"/>
        <v>1.198</v>
      </c>
    </row>
    <row r="115" spans="1:16" x14ac:dyDescent="0.2">
      <c r="A115" s="560" t="s">
        <v>135</v>
      </c>
      <c r="B115" s="217">
        <f t="shared" ref="B115:G115" si="58">B114*$C$9</f>
        <v>71.843673739692107</v>
      </c>
      <c r="C115" s="217">
        <f t="shared" si="58"/>
        <v>67.041939200406418</v>
      </c>
      <c r="D115" s="217">
        <f t="shared" si="58"/>
        <v>70.263356043218337</v>
      </c>
      <c r="E115" s="217">
        <f t="shared" si="58"/>
        <v>73.484772886030257</v>
      </c>
      <c r="F115" s="217">
        <f t="shared" si="58"/>
        <v>87.039036205786033</v>
      </c>
      <c r="G115" s="217">
        <f t="shared" si="58"/>
        <v>72.816176937522116</v>
      </c>
      <c r="H115" s="18"/>
      <c r="I115" s="162" t="s">
        <v>135</v>
      </c>
      <c r="J115" s="217">
        <f t="shared" ref="J115:O115" si="59">J114*$C$10</f>
        <v>119.02459380754959</v>
      </c>
      <c r="K115" s="217">
        <f t="shared" si="59"/>
        <v>111.06948136186736</v>
      </c>
      <c r="L115" s="217">
        <f t="shared" si="59"/>
        <v>116.40645553428709</v>
      </c>
      <c r="M115" s="217">
        <f t="shared" si="59"/>
        <v>121.74342970670683</v>
      </c>
      <c r="N115" s="217">
        <f t="shared" si="59"/>
        <v>144.1990002812276</v>
      </c>
      <c r="O115" s="217">
        <f t="shared" si="59"/>
        <v>120.63575582186499</v>
      </c>
    </row>
    <row r="116" spans="1:16" x14ac:dyDescent="0.2">
      <c r="A116" s="560" t="s">
        <v>126</v>
      </c>
      <c r="B116" s="217">
        <f>O$22</f>
        <v>3.91</v>
      </c>
      <c r="C116" s="217">
        <f>O$23</f>
        <v>3.79</v>
      </c>
      <c r="D116" s="217">
        <f>O$24</f>
        <v>5.23</v>
      </c>
      <c r="E116" s="217">
        <f>O$25</f>
        <v>4.4800000000000004</v>
      </c>
      <c r="F116" s="217">
        <f>O$26</f>
        <v>6.11</v>
      </c>
      <c r="G116" s="217">
        <f>O$27</f>
        <v>5.28</v>
      </c>
      <c r="H116" s="18"/>
      <c r="I116" s="162" t="s">
        <v>126</v>
      </c>
      <c r="J116" s="217">
        <f>O$33</f>
        <v>6.28</v>
      </c>
      <c r="K116" s="217">
        <f>O$34</f>
        <v>6.1</v>
      </c>
      <c r="L116" s="217">
        <f>O$35</f>
        <v>8.41</v>
      </c>
      <c r="M116" s="217">
        <f>O$36</f>
        <v>7.21</v>
      </c>
      <c r="N116" s="217">
        <f>O$37</f>
        <v>9.82</v>
      </c>
      <c r="O116" s="217">
        <f>O$38</f>
        <v>8.4600000000000009</v>
      </c>
    </row>
    <row r="117" spans="1:16" x14ac:dyDescent="0.2">
      <c r="A117" s="560" t="s">
        <v>120</v>
      </c>
      <c r="B117" s="164">
        <f t="shared" ref="B117:G117" si="60">SUM(B116/B115)</f>
        <v>5.4423720231330651E-2</v>
      </c>
      <c r="C117" s="164">
        <f t="shared" si="60"/>
        <v>5.6531777648475667E-2</v>
      </c>
      <c r="D117" s="164">
        <f t="shared" si="60"/>
        <v>7.4434247017507615E-2</v>
      </c>
      <c r="E117" s="164">
        <f t="shared" si="60"/>
        <v>6.0965011172425712E-2</v>
      </c>
      <c r="F117" s="164">
        <f t="shared" si="60"/>
        <v>7.0198387601100642E-2</v>
      </c>
      <c r="G117" s="164">
        <f t="shared" si="60"/>
        <v>7.2511359728901409E-2</v>
      </c>
      <c r="H117" s="18"/>
      <c r="I117" s="162" t="s">
        <v>120</v>
      </c>
      <c r="J117" s="164">
        <f t="shared" ref="J117:O117" si="61">SUM(J116/J115)</f>
        <v>5.2762204844438353E-2</v>
      </c>
      <c r="K117" s="164">
        <f t="shared" si="61"/>
        <v>5.4920576968627732E-2</v>
      </c>
      <c r="L117" s="164">
        <f t="shared" si="61"/>
        <v>7.2246852302129114E-2</v>
      </c>
      <c r="M117" s="164">
        <f t="shared" si="61"/>
        <v>5.9222908516456896E-2</v>
      </c>
      <c r="N117" s="164">
        <f t="shared" si="61"/>
        <v>6.810033343399266E-2</v>
      </c>
      <c r="O117" s="164">
        <f t="shared" si="61"/>
        <v>7.0128461850832477E-2</v>
      </c>
    </row>
    <row r="118" spans="1:16" ht="15.75" x14ac:dyDescent="0.25">
      <c r="A118" s="561" t="s">
        <v>137</v>
      </c>
      <c r="H118" s="18"/>
      <c r="I118" s="13" t="s">
        <v>137</v>
      </c>
    </row>
    <row r="119" spans="1:16" x14ac:dyDescent="0.2">
      <c r="A119" s="562" t="s">
        <v>17</v>
      </c>
      <c r="B119" s="165">
        <f>IF('Summary (HIDE)'!$G$24-B115&lt;0,0,SUM('Summary (HIDE)'!$G$24-B115))</f>
        <v>147.19999980325997</v>
      </c>
      <c r="C119" s="165">
        <f>IF('Summary (HIDE)'!$G$24-C115&lt;0,0,SUM('Summary (HIDE)'!$G$24-C115))</f>
        <v>152.00173434254566</v>
      </c>
      <c r="D119" s="165">
        <f>IF('Summary (HIDE)'!$G$24-D115&lt;0,0,SUM('Summary (HIDE)'!$G$24-D115))</f>
        <v>148.78031749973371</v>
      </c>
      <c r="E119" s="165">
        <f>IF('Summary (HIDE)'!$G$24-E115&lt;0,0,SUM('Summary (HIDE)'!$G$24-E115))</f>
        <v>145.55890065692182</v>
      </c>
      <c r="F119" s="165">
        <f>IF('Summary (HIDE)'!$G$24-F115&lt;0,0,SUM('Summary (HIDE)'!$G$24-F115))</f>
        <v>132.00463733716603</v>
      </c>
      <c r="G119" s="165">
        <f>IF('Summary (HIDE)'!$G$24-G115&lt;0,0,SUM('Summary (HIDE)'!$G$24-G115))</f>
        <v>146.22749660542996</v>
      </c>
      <c r="H119" s="18"/>
      <c r="I119" s="1" t="s">
        <v>17</v>
      </c>
      <c r="J119" s="165">
        <f>IF('Summary (HIDE)'!$G$24-J115&lt;0,0,SUM('Summary (HIDE)'!$G$24-J115))</f>
        <v>100.01907973540247</v>
      </c>
      <c r="K119" s="165">
        <f>IF('Summary (HIDE)'!$G$24-K115&lt;0,0,SUM('Summary (HIDE)'!$G$24-K115))</f>
        <v>107.9741921810847</v>
      </c>
      <c r="L119" s="165">
        <f>IF('Summary (HIDE)'!$G$24-L115&lt;0,0,SUM('Summary (HIDE)'!$G$24-L115))</f>
        <v>102.63721800866497</v>
      </c>
      <c r="M119" s="165">
        <f>IF('Summary (HIDE)'!$G$24-M115&lt;0,0,SUM('Summary (HIDE)'!$G$24-M115))</f>
        <v>97.30024383624523</v>
      </c>
      <c r="N119" s="165">
        <f>IF('Summary (HIDE)'!$G$24-N115&lt;0,0,SUM('Summary (HIDE)'!$G$24-N115))</f>
        <v>74.844673261724466</v>
      </c>
      <c r="O119" s="165">
        <f>IF('Summary (HIDE)'!$G$24-O115&lt;0,0,SUM('Summary (HIDE)'!$G$24-O115))</f>
        <v>98.407917721087074</v>
      </c>
    </row>
    <row r="120" spans="1:16" x14ac:dyDescent="0.2">
      <c r="A120" s="562" t="s">
        <v>121</v>
      </c>
      <c r="B120" s="165">
        <f>IF('Summary (HIDE)'!$G$31-B115&lt;0,0,SUM('Summary (HIDE)'!$G$31-B115))</f>
        <v>255.3950236652658</v>
      </c>
      <c r="C120" s="165">
        <f>IF('Summary (HIDE)'!$G$31-C115&lt;0,0,SUM('Summary (HIDE)'!$G$31-C115))</f>
        <v>260.19675820455149</v>
      </c>
      <c r="D120" s="165">
        <f>IF('Summary (HIDE)'!$G$31-D115&lt;0,0,SUM('Summary (HIDE)'!$G$31-D115))</f>
        <v>256.97534136173959</v>
      </c>
      <c r="E120" s="165">
        <f>IF('Summary (HIDE)'!$G$31-E115&lt;0,0,SUM('Summary (HIDE)'!$G$31-E115))</f>
        <v>253.75392451892765</v>
      </c>
      <c r="F120" s="165">
        <f>IF('Summary (HIDE)'!$G$31-F115&lt;0,0,SUM('Summary (HIDE)'!$G$31-F115))</f>
        <v>240.19966119917189</v>
      </c>
      <c r="G120" s="165">
        <f>IF('Summary (HIDE)'!$G$31-G115&lt;0,0,SUM('Summary (HIDE)'!$G$31-G115))</f>
        <v>254.42252046743579</v>
      </c>
      <c r="H120" s="18"/>
      <c r="I120" s="1" t="s">
        <v>121</v>
      </c>
      <c r="J120" s="165">
        <f>IF('Summary (HIDE)'!$G$31-J115&lt;0,0,SUM('Summary (HIDE)'!$G$31-J115))</f>
        <v>208.21410359740833</v>
      </c>
      <c r="K120" s="165">
        <f>IF('Summary (HIDE)'!$G$31-K115&lt;0,0,SUM('Summary (HIDE)'!$G$31-K115))</f>
        <v>216.16921604309056</v>
      </c>
      <c r="L120" s="165">
        <f>IF('Summary (HIDE)'!$G$31-L115&lt;0,0,SUM('Summary (HIDE)'!$G$31-L115))</f>
        <v>210.83224187067083</v>
      </c>
      <c r="M120" s="165">
        <f>IF('Summary (HIDE)'!$G$31-M115&lt;0,0,SUM('Summary (HIDE)'!$G$31-M115))</f>
        <v>205.4952676982511</v>
      </c>
      <c r="N120" s="165">
        <f>IF('Summary (HIDE)'!$G$31-N115&lt;0,0,SUM('Summary (HIDE)'!$G$31-N115))</f>
        <v>183.03969712373032</v>
      </c>
      <c r="O120" s="165">
        <f>IF('Summary (HIDE)'!$G$31-O115&lt;0,0,SUM('Summary (HIDE)'!$G$31-O115))</f>
        <v>206.60294158309293</v>
      </c>
    </row>
    <row r="121" spans="1:16" x14ac:dyDescent="0.2">
      <c r="A121" s="562" t="s">
        <v>16</v>
      </c>
      <c r="B121" s="165">
        <f>IF('Summary (HIDE)'!$G$35-B115&lt;0,0,SUM('Summary (HIDE)'!$G$35-B115))</f>
        <v>285.3950236652658</v>
      </c>
      <c r="C121" s="165">
        <f>IF('Summary (HIDE)'!$G$35-C115&lt;0,0,SUM('Summary (HIDE)'!$G$35-C115))</f>
        <v>290.19675820455149</v>
      </c>
      <c r="D121" s="165">
        <f>IF('Summary (HIDE)'!$G$35-D115&lt;0,0,SUM('Summary (HIDE)'!$G$35-D115))</f>
        <v>286.97534136173959</v>
      </c>
      <c r="E121" s="165">
        <f>IF('Summary (HIDE)'!$G$35-E115&lt;0,0,SUM('Summary (HIDE)'!$G$35-E115))</f>
        <v>283.75392451892765</v>
      </c>
      <c r="F121" s="165">
        <f>IF('Summary (HIDE)'!$G$35-F115&lt;0,0,SUM('Summary (HIDE)'!$G$35-F115))</f>
        <v>270.19966119917189</v>
      </c>
      <c r="G121" s="165">
        <f>IF('Summary (HIDE)'!$G$35-G115&lt;0,0,SUM('Summary (HIDE)'!$G$35-G115))</f>
        <v>284.42252046743579</v>
      </c>
      <c r="H121" s="18"/>
      <c r="I121" s="1" t="s">
        <v>16</v>
      </c>
      <c r="J121" s="165">
        <f>IF('Summary (HIDE)'!$G$35-J115&lt;0,0,SUM('Summary (HIDE)'!$G$35-J115))</f>
        <v>238.21410359740833</v>
      </c>
      <c r="K121" s="165">
        <f>IF('Summary (HIDE)'!$G$35-K115&lt;0,0,SUM('Summary (HIDE)'!$G$35-K115))</f>
        <v>246.16921604309056</v>
      </c>
      <c r="L121" s="165">
        <f>IF('Summary (HIDE)'!$G$35-L115&lt;0,0,SUM('Summary (HIDE)'!$G$35-L115))</f>
        <v>240.83224187067083</v>
      </c>
      <c r="M121" s="165">
        <f>IF('Summary (HIDE)'!$G$35-M115&lt;0,0,SUM('Summary (HIDE)'!$G$35-M115))</f>
        <v>235.4952676982511</v>
      </c>
      <c r="N121" s="165">
        <f>IF('Summary (HIDE)'!$G$35-N115&lt;0,0,SUM('Summary (HIDE)'!$G$35-N115))</f>
        <v>213.03969712373032</v>
      </c>
      <c r="O121" s="165">
        <f>IF('Summary (HIDE)'!$G$35-O115&lt;0,0,SUM('Summary (HIDE)'!$G$35-O115))</f>
        <v>236.60294158309293</v>
      </c>
    </row>
    <row r="122" spans="1:16" ht="15.75" x14ac:dyDescent="0.25">
      <c r="A122" s="561" t="s">
        <v>122</v>
      </c>
      <c r="H122" s="18"/>
      <c r="I122" s="13" t="s">
        <v>122</v>
      </c>
    </row>
    <row r="123" spans="1:16" x14ac:dyDescent="0.2">
      <c r="A123" s="562" t="s">
        <v>17</v>
      </c>
      <c r="B123" s="166">
        <f>B115/'Summary (HIDE)'!$G$24</f>
        <v>0.32798789655800925</v>
      </c>
      <c r="C123" s="166">
        <f>C115/'Summary (HIDE)'!$G$24</f>
        <v>0.30606653968145869</v>
      </c>
      <c r="D123" s="166">
        <f>D115/'Summary (HIDE)'!$G$24</f>
        <v>0.32077327277585338</v>
      </c>
      <c r="E123" s="166">
        <f>E115/'Summary (HIDE)'!$G$24</f>
        <v>0.33548000587024807</v>
      </c>
      <c r="F123" s="166">
        <f>F115/'Summary (HIDE)'!$G$24</f>
        <v>0.39735927907873875</v>
      </c>
      <c r="G123" s="166">
        <f>G115/'Summary (HIDE)'!$G$24</f>
        <v>0.33242766503933591</v>
      </c>
      <c r="H123" s="18"/>
      <c r="I123" s="1" t="s">
        <v>17</v>
      </c>
      <c r="J123" s="166">
        <f>J115/'Summary (HIDE)'!$G$24</f>
        <v>0.54338293310356744</v>
      </c>
      <c r="K123" s="166">
        <f>K115/'Summary (HIDE)'!$G$24</f>
        <v>0.5070654612633122</v>
      </c>
      <c r="L123" s="166">
        <f>L115/'Summary (HIDE)'!$G$24</f>
        <v>0.5314303474346227</v>
      </c>
      <c r="M123" s="166">
        <f>M115/'Summary (HIDE)'!$G$24</f>
        <v>0.5557952336059333</v>
      </c>
      <c r="N123" s="166">
        <f>N115/'Summary (HIDE)'!$G$24</f>
        <v>0.65831164145880594</v>
      </c>
      <c r="O123" s="166">
        <f>O115/'Summary (HIDE)'!$G$24</f>
        <v>0.55073837043830276</v>
      </c>
    </row>
    <row r="124" spans="1:16" x14ac:dyDescent="0.2">
      <c r="A124" s="562" t="s">
        <v>16</v>
      </c>
      <c r="B124" s="166">
        <f>B115/'Summary (HIDE)'!$G$35</f>
        <v>0.20110831850406088</v>
      </c>
      <c r="C124" s="166">
        <f>C115/'Summary (HIDE)'!$G$35</f>
        <v>0.18766706879016848</v>
      </c>
      <c r="D124" s="166">
        <f>D115/'Summary (HIDE)'!$G$35</f>
        <v>0.19668461606657731</v>
      </c>
      <c r="E124" s="166">
        <f>E115/'Summary (HIDE)'!$G$35</f>
        <v>0.20570216334298616</v>
      </c>
      <c r="F124" s="166">
        <f>F115/'Summary (HIDE)'!$G$35</f>
        <v>0.24364391886447984</v>
      </c>
      <c r="G124" s="166">
        <f>G115/'Summary (HIDE)'!$G$35</f>
        <v>0.20383059692712768</v>
      </c>
      <c r="H124" s="18"/>
      <c r="I124" s="1" t="s">
        <v>16</v>
      </c>
      <c r="J124" s="166">
        <f>J115/'Summary (HIDE)'!$G$35</f>
        <v>0.33317945304404112</v>
      </c>
      <c r="K124" s="166">
        <f>K115/'Summary (HIDE)'!$G$35</f>
        <v>0.31091111396580151</v>
      </c>
      <c r="L124" s="166">
        <f>L115/'Summary (HIDE)'!$G$35</f>
        <v>0.32585063258791164</v>
      </c>
      <c r="M124" s="166">
        <f>M115/'Summary (HIDE)'!$G$35</f>
        <v>0.34079015121002182</v>
      </c>
      <c r="N124" s="166">
        <f>N115/'Summary (HIDE)'!$G$35</f>
        <v>0.40364888050682479</v>
      </c>
      <c r="O124" s="166">
        <f>O115/'Summary (HIDE)'!$G$35</f>
        <v>0.33768949640165929</v>
      </c>
    </row>
    <row r="125" spans="1:16" x14ac:dyDescent="0.2">
      <c r="H125" s="18"/>
    </row>
    <row r="126" spans="1:16" ht="15.75" x14ac:dyDescent="0.25">
      <c r="A126" s="146" t="s">
        <v>113</v>
      </c>
      <c r="B126" s="161"/>
      <c r="C126" s="161"/>
    </row>
    <row r="127" spans="1:16" ht="15.75" x14ac:dyDescent="0.25">
      <c r="A127" s="174">
        <v>0.8</v>
      </c>
      <c r="B127" s="607" t="s">
        <v>167</v>
      </c>
      <c r="C127" s="607"/>
      <c r="D127" s="607"/>
      <c r="E127" s="607"/>
      <c r="F127" s="607"/>
      <c r="G127" s="607"/>
    </row>
    <row r="128" spans="1:16" x14ac:dyDescent="0.2">
      <c r="A128" s="136"/>
      <c r="B128" s="1" t="s">
        <v>152</v>
      </c>
      <c r="C128" s="1" t="s">
        <v>153</v>
      </c>
      <c r="D128" s="1" t="s">
        <v>154</v>
      </c>
      <c r="E128" s="1" t="s">
        <v>155</v>
      </c>
      <c r="F128" s="1" t="s">
        <v>156</v>
      </c>
      <c r="G128" s="1" t="s">
        <v>151</v>
      </c>
      <c r="H128" s="1" t="s">
        <v>157</v>
      </c>
      <c r="I128" s="1" t="s">
        <v>158</v>
      </c>
      <c r="J128" s="1" t="s">
        <v>159</v>
      </c>
      <c r="K128" s="1" t="s">
        <v>160</v>
      </c>
      <c r="L128" s="1" t="s">
        <v>161</v>
      </c>
      <c r="M128" s="1" t="s">
        <v>162</v>
      </c>
      <c r="N128" s="1" t="s">
        <v>163</v>
      </c>
      <c r="O128" s="1" t="s">
        <v>164</v>
      </c>
      <c r="P128" s="1" t="s">
        <v>172</v>
      </c>
    </row>
    <row r="129" spans="1:17" x14ac:dyDescent="0.2">
      <c r="A129" s="162" t="s">
        <v>136</v>
      </c>
      <c r="B129" s="206">
        <f>ROUND((S$22*'Forage Insurance'!$H$24),3)</f>
        <v>2.2000000000000002</v>
      </c>
      <c r="C129" s="206">
        <f>ROUND((S$23*'Forage Insurance'!$H$24),3)</f>
        <v>2.2000000000000002</v>
      </c>
      <c r="D129" s="206">
        <f>ROUND((S$24*'Forage Insurance'!$H$24),3)</f>
        <v>2.2000000000000002</v>
      </c>
      <c r="E129" s="206">
        <f>ROUND((S$25*'Forage Insurance'!$H$24),3)</f>
        <v>2.2000000000000002</v>
      </c>
      <c r="F129" s="206">
        <f>ROUND((S$26*'Forage Insurance'!$H$24),3)</f>
        <v>2.2000000000000002</v>
      </c>
      <c r="G129" s="206">
        <f>ROUND((S$27*'Forage Insurance'!$H$24),3)</f>
        <v>2.2000000000000002</v>
      </c>
      <c r="H129" s="206">
        <f>ROUND((S$28*'Forage Insurance'!$H$24),3)</f>
        <v>2.2000000000000002</v>
      </c>
      <c r="I129" s="206">
        <f>ROUND((S$29*'Forage Insurance'!$H$24),3)</f>
        <v>2.2000000000000002</v>
      </c>
      <c r="J129" s="206">
        <f>ROUND((S$30*'Forage Insurance'!$H$24),3)</f>
        <v>2.2000000000000002</v>
      </c>
      <c r="K129" s="206">
        <f>ROUND((S$31*'Forage Insurance'!$H$24),3)</f>
        <v>2.2000000000000002</v>
      </c>
      <c r="L129" s="206">
        <f>ROUND((S$32*'Forage Insurance'!$H$24),3)</f>
        <v>2.2000000000000002</v>
      </c>
      <c r="M129" s="206">
        <f>ROUND((S$33*'Forage Insurance'!$H$24),3)</f>
        <v>2.2000000000000002</v>
      </c>
      <c r="N129" s="206">
        <f>ROUND((S$34*'Forage Insurance'!$H$24),3)</f>
        <v>2.2000000000000002</v>
      </c>
      <c r="O129" s="206">
        <f>ROUND((S$35*'Forage Insurance'!$H$24),3)</f>
        <v>2.2000000000000002</v>
      </c>
      <c r="P129" s="206">
        <f>ROUND((S$36*'Forage Insurance'!$H$24),3)</f>
        <v>2.2000000000000002</v>
      </c>
      <c r="Q129" s="206"/>
    </row>
    <row r="130" spans="1:17" x14ac:dyDescent="0.2">
      <c r="A130" s="162" t="s">
        <v>138</v>
      </c>
      <c r="B130" s="206">
        <f>ROUND(B129*0.8,3)</f>
        <v>1.76</v>
      </c>
      <c r="C130" s="206">
        <f t="shared" ref="C130:I130" si="62">ROUND(C129*0.8,3)</f>
        <v>1.76</v>
      </c>
      <c r="D130" s="206">
        <f t="shared" si="62"/>
        <v>1.76</v>
      </c>
      <c r="E130" s="206">
        <f t="shared" si="62"/>
        <v>1.76</v>
      </c>
      <c r="F130" s="206">
        <f t="shared" si="62"/>
        <v>1.76</v>
      </c>
      <c r="G130" s="206">
        <f t="shared" si="62"/>
        <v>1.76</v>
      </c>
      <c r="H130" s="206">
        <f t="shared" si="62"/>
        <v>1.76</v>
      </c>
      <c r="I130" s="206">
        <f t="shared" si="62"/>
        <v>1.76</v>
      </c>
      <c r="J130" s="206">
        <f t="shared" ref="J130:P130" si="63">ROUND(J129*0.8,3)</f>
        <v>1.76</v>
      </c>
      <c r="K130" s="206">
        <f t="shared" si="63"/>
        <v>1.76</v>
      </c>
      <c r="L130" s="206">
        <f t="shared" si="63"/>
        <v>1.76</v>
      </c>
      <c r="M130" s="206">
        <f t="shared" si="63"/>
        <v>1.76</v>
      </c>
      <c r="N130" s="206">
        <f t="shared" si="63"/>
        <v>1.76</v>
      </c>
      <c r="O130" s="206">
        <f t="shared" si="63"/>
        <v>1.76</v>
      </c>
      <c r="P130" s="206">
        <f t="shared" si="63"/>
        <v>1.76</v>
      </c>
      <c r="Q130" s="206"/>
    </row>
    <row r="131" spans="1:17" x14ac:dyDescent="0.2">
      <c r="A131" s="162" t="s">
        <v>135</v>
      </c>
      <c r="B131" s="163">
        <f t="shared" ref="B131:I131" si="64">B130*$C$4</f>
        <v>233.18240000000003</v>
      </c>
      <c r="C131" s="163">
        <f t="shared" si="64"/>
        <v>233.18240000000003</v>
      </c>
      <c r="D131" s="163">
        <f t="shared" si="64"/>
        <v>233.18240000000003</v>
      </c>
      <c r="E131" s="163">
        <f t="shared" si="64"/>
        <v>233.18240000000003</v>
      </c>
      <c r="F131" s="163">
        <f t="shared" si="64"/>
        <v>233.18240000000003</v>
      </c>
      <c r="G131" s="163">
        <f t="shared" si="64"/>
        <v>233.18240000000003</v>
      </c>
      <c r="H131" s="163">
        <f t="shared" si="64"/>
        <v>233.18240000000003</v>
      </c>
      <c r="I131" s="163">
        <f t="shared" si="64"/>
        <v>233.18240000000003</v>
      </c>
      <c r="J131" s="163">
        <f t="shared" ref="J131:P131" si="65">J130*$C$4</f>
        <v>233.18240000000003</v>
      </c>
      <c r="K131" s="163">
        <f t="shared" si="65"/>
        <v>233.18240000000003</v>
      </c>
      <c r="L131" s="163">
        <f t="shared" si="65"/>
        <v>233.18240000000003</v>
      </c>
      <c r="M131" s="163">
        <f t="shared" si="65"/>
        <v>233.18240000000003</v>
      </c>
      <c r="N131" s="163">
        <f t="shared" si="65"/>
        <v>233.18240000000003</v>
      </c>
      <c r="O131" s="163">
        <f t="shared" si="65"/>
        <v>233.18240000000003</v>
      </c>
      <c r="P131" s="163">
        <f t="shared" si="65"/>
        <v>233.18240000000003</v>
      </c>
      <c r="Q131" s="163"/>
    </row>
    <row r="132" spans="1:17" x14ac:dyDescent="0.2">
      <c r="A132" s="162" t="s">
        <v>126</v>
      </c>
      <c r="B132" s="163">
        <f>T$22</f>
        <v>21.55</v>
      </c>
      <c r="C132" s="163">
        <f>T$23</f>
        <v>24.1</v>
      </c>
      <c r="D132" s="163">
        <f>T$24</f>
        <v>23.61</v>
      </c>
      <c r="E132" s="163">
        <f>T$25</f>
        <v>25.6</v>
      </c>
      <c r="F132" s="163">
        <f>T$26</f>
        <v>23.52</v>
      </c>
      <c r="G132" s="163">
        <f>T$27</f>
        <v>23.27</v>
      </c>
      <c r="H132" s="163">
        <f>T$28</f>
        <v>22.75</v>
      </c>
      <c r="I132" s="163">
        <f>T$29</f>
        <v>26.78</v>
      </c>
      <c r="J132" s="163">
        <f>T$30</f>
        <v>22.77</v>
      </c>
      <c r="K132" s="163">
        <f>T$31</f>
        <v>22.39</v>
      </c>
      <c r="L132" s="163">
        <f>T$32</f>
        <v>22.68</v>
      </c>
      <c r="M132" s="163">
        <f>T$33</f>
        <v>21.18</v>
      </c>
      <c r="N132" s="163">
        <f>T$34</f>
        <v>20.350000000000001</v>
      </c>
      <c r="O132" s="163">
        <f>T$35</f>
        <v>19.39</v>
      </c>
      <c r="P132" s="163">
        <f>T$36</f>
        <v>18.13</v>
      </c>
      <c r="Q132" s="163"/>
    </row>
    <row r="133" spans="1:17" x14ac:dyDescent="0.2">
      <c r="A133" s="162" t="s">
        <v>120</v>
      </c>
      <c r="B133" s="164">
        <f t="shared" ref="B133:I133" si="66">SUM(B132/B131)</f>
        <v>9.2416923404167711E-2</v>
      </c>
      <c r="C133" s="164">
        <f>SUM(C132/C131)</f>
        <v>0.10335256863296714</v>
      </c>
      <c r="D133" s="164">
        <f t="shared" si="66"/>
        <v>0.10125120935370764</v>
      </c>
      <c r="E133" s="164">
        <f t="shared" si="66"/>
        <v>0.10978530112049623</v>
      </c>
      <c r="F133" s="164">
        <f t="shared" si="66"/>
        <v>0.10086524540445589</v>
      </c>
      <c r="G133" s="164">
        <f t="shared" si="66"/>
        <v>9.9793123323201047E-2</v>
      </c>
      <c r="H133" s="164">
        <f t="shared" si="66"/>
        <v>9.7563109394190967E-2</v>
      </c>
      <c r="I133" s="164">
        <f t="shared" si="66"/>
        <v>0.11484571734401909</v>
      </c>
      <c r="J133" s="164">
        <f t="shared" ref="J133:P133" si="67">SUM(J132/J131)</f>
        <v>9.7648879160691357E-2</v>
      </c>
      <c r="K133" s="164">
        <f t="shared" si="67"/>
        <v>9.6019253597183996E-2</v>
      </c>
      <c r="L133" s="164">
        <f t="shared" si="67"/>
        <v>9.7262915211439621E-2</v>
      </c>
      <c r="M133" s="164">
        <f t="shared" si="67"/>
        <v>9.0830182723910538E-2</v>
      </c>
      <c r="N133" s="164">
        <f t="shared" si="67"/>
        <v>8.7270737414144456E-2</v>
      </c>
      <c r="O133" s="164">
        <f t="shared" si="67"/>
        <v>8.3153788622125843E-2</v>
      </c>
      <c r="P133" s="164">
        <f t="shared" si="67"/>
        <v>7.7750293332601417E-2</v>
      </c>
      <c r="Q133" s="164"/>
    </row>
    <row r="134" spans="1:17" ht="15.75" x14ac:dyDescent="0.25">
      <c r="A134" s="13" t="s">
        <v>137</v>
      </c>
    </row>
    <row r="135" spans="1:17" x14ac:dyDescent="0.2">
      <c r="A135" s="1" t="s">
        <v>17</v>
      </c>
      <c r="B135" s="165">
        <f>IF('Summary (HIDE)'!$K$24-B131&lt;0,0,SUM('Summary (HIDE)'!$K$24-B131))</f>
        <v>36.630920394794259</v>
      </c>
      <c r="C135" s="165">
        <f>IF('Summary (HIDE)'!$K$24-C131&lt;0,0,SUM('Summary (HIDE)'!$K$24-C131))</f>
        <v>36.630920394794259</v>
      </c>
      <c r="D135" s="165">
        <f>IF('Summary (HIDE)'!$K$24-D131&lt;0,0,SUM('Summary (HIDE)'!$K$24-D131))</f>
        <v>36.630920394794259</v>
      </c>
      <c r="E135" s="165">
        <f>IF('Summary (HIDE)'!$K$24-E131&lt;0,0,SUM('Summary (HIDE)'!$K$24-E131))</f>
        <v>36.630920394794259</v>
      </c>
      <c r="F135" s="165">
        <f>IF('Summary (HIDE)'!$K$24-F131&lt;0,0,SUM('Summary (HIDE)'!$K$24-F131))</f>
        <v>36.630920394794259</v>
      </c>
      <c r="G135" s="165">
        <f>IF('Summary (HIDE)'!$K$24-G131&lt;0,0,SUM('Summary (HIDE)'!$K$24-G131))</f>
        <v>36.630920394794259</v>
      </c>
      <c r="H135" s="165">
        <f>IF('Summary (HIDE)'!$K$24-H131&lt;0,0,SUM('Summary (HIDE)'!$K$24-H131))</f>
        <v>36.630920394794259</v>
      </c>
      <c r="I135" s="165">
        <f>IF('Summary (HIDE)'!$K$24-I131&lt;0,0,SUM('Summary (HIDE)'!$K$24-I131))</f>
        <v>36.630920394794259</v>
      </c>
      <c r="J135" s="165">
        <f>IF('Summary (HIDE)'!$K$24-J131&lt;0,0,SUM('Summary (HIDE)'!$K$24-J131))</f>
        <v>36.630920394794259</v>
      </c>
      <c r="K135" s="165">
        <f>IF('Summary (HIDE)'!$K$24-K131&lt;0,0,SUM('Summary (HIDE)'!$K$24-K131))</f>
        <v>36.630920394794259</v>
      </c>
      <c r="L135" s="165">
        <f>IF('Summary (HIDE)'!$K$24-L131&lt;0,0,SUM('Summary (HIDE)'!$K$24-L131))</f>
        <v>36.630920394794259</v>
      </c>
      <c r="M135" s="165">
        <f>IF('Summary (HIDE)'!$K$24-M131&lt;0,0,SUM('Summary (HIDE)'!$K$24-M131))</f>
        <v>36.630920394794259</v>
      </c>
      <c r="N135" s="165">
        <f>IF('Summary (HIDE)'!$K$24-N131&lt;0,0,SUM('Summary (HIDE)'!$K$24-N131))</f>
        <v>36.630920394794259</v>
      </c>
      <c r="O135" s="165">
        <f>IF('Summary (HIDE)'!$K$24-O131&lt;0,0,SUM('Summary (HIDE)'!$K$24-O131))</f>
        <v>36.630920394794259</v>
      </c>
      <c r="P135" s="165">
        <f>IF('Summary (HIDE)'!$K$24-P131&lt;0,0,SUM('Summary (HIDE)'!$K$24-P131))</f>
        <v>36.630920394794259</v>
      </c>
      <c r="Q135" s="165"/>
    </row>
    <row r="136" spans="1:17" x14ac:dyDescent="0.2">
      <c r="A136" s="1" t="s">
        <v>121</v>
      </c>
      <c r="B136" s="167">
        <f>IF('Summary (HIDE)'!$K$31-B131&lt;0,0,SUM('Summary (HIDE)'!$K$31-B131))</f>
        <v>144.82594425680008</v>
      </c>
      <c r="C136" s="167">
        <f>IF('Summary (HIDE)'!$K$31-C131&lt;0,0,SUM('Summary (HIDE)'!$K$31-C131))</f>
        <v>144.82594425680008</v>
      </c>
      <c r="D136" s="167">
        <f>IF('Summary (HIDE)'!$K$31-D131&lt;0,0,SUM('Summary (HIDE)'!$K$31-D131))</f>
        <v>144.82594425680008</v>
      </c>
      <c r="E136" s="167">
        <f>IF('Summary (HIDE)'!$K$31-E131&lt;0,0,SUM('Summary (HIDE)'!$K$31-E131))</f>
        <v>144.82594425680008</v>
      </c>
      <c r="F136" s="167">
        <f>IF('Summary (HIDE)'!$K$31-F131&lt;0,0,SUM('Summary (HIDE)'!$K$31-F131))</f>
        <v>144.82594425680008</v>
      </c>
      <c r="G136" s="167">
        <f>IF('Summary (HIDE)'!$K$31-G131&lt;0,0,SUM('Summary (HIDE)'!$K$31-G131))</f>
        <v>144.82594425680008</v>
      </c>
      <c r="H136" s="167">
        <f>IF('Summary (HIDE)'!$K$31-H131&lt;0,0,SUM('Summary (HIDE)'!$K$31-H131))</f>
        <v>144.82594425680008</v>
      </c>
      <c r="I136" s="167">
        <f>IF('Summary (HIDE)'!$K$31-I131&lt;0,0,SUM('Summary (HIDE)'!$K$31-I131))</f>
        <v>144.82594425680008</v>
      </c>
      <c r="J136" s="167">
        <f>IF('Summary (HIDE)'!$K$31-J131&lt;0,0,SUM('Summary (HIDE)'!$K$31-J131))</f>
        <v>144.82594425680008</v>
      </c>
      <c r="K136" s="167">
        <f>IF('Summary (HIDE)'!$K$31-K131&lt;0,0,SUM('Summary (HIDE)'!$K$31-K131))</f>
        <v>144.82594425680008</v>
      </c>
      <c r="L136" s="167">
        <f>IF('Summary (HIDE)'!$K$31-L131&lt;0,0,SUM('Summary (HIDE)'!$K$31-L131))</f>
        <v>144.82594425680008</v>
      </c>
      <c r="M136" s="167">
        <f>IF('Summary (HIDE)'!$K$31-M131&lt;0,0,SUM('Summary (HIDE)'!$K$31-M131))</f>
        <v>144.82594425680008</v>
      </c>
      <c r="N136" s="167">
        <f>IF('Summary (HIDE)'!$K$31-N131&lt;0,0,SUM('Summary (HIDE)'!$K$31-N131))</f>
        <v>144.82594425680008</v>
      </c>
      <c r="O136" s="167">
        <f>IF('Summary (HIDE)'!$K$31-O131&lt;0,0,SUM('Summary (HIDE)'!$K$31-O131))</f>
        <v>144.82594425680008</v>
      </c>
      <c r="P136" s="167">
        <f>IF('Summary (HIDE)'!$K$31-P131&lt;0,0,SUM('Summary (HIDE)'!$K$31-P131))</f>
        <v>144.82594425680008</v>
      </c>
      <c r="Q136" s="167"/>
    </row>
    <row r="137" spans="1:17" x14ac:dyDescent="0.2">
      <c r="A137" s="1" t="s">
        <v>16</v>
      </c>
      <c r="B137" s="165">
        <f>IF('Summary (HIDE)'!$K$35-B131&lt;0,0,SUM('Summary (HIDE)'!$K$35-B131))</f>
        <v>182.32594425680008</v>
      </c>
      <c r="C137" s="165">
        <f>IF('Summary (HIDE)'!$K$35-C131&lt;0,0,SUM('Summary (HIDE)'!$K$35-C131))</f>
        <v>182.32594425680008</v>
      </c>
      <c r="D137" s="165">
        <f>IF('Summary (HIDE)'!$K$35-D131&lt;0,0,SUM('Summary (HIDE)'!$K$35-D131))</f>
        <v>182.32594425680008</v>
      </c>
      <c r="E137" s="165">
        <f>IF('Summary (HIDE)'!$K$35-E131&lt;0,0,SUM('Summary (HIDE)'!$K$35-E131))</f>
        <v>182.32594425680008</v>
      </c>
      <c r="F137" s="165">
        <f>IF('Summary (HIDE)'!$K$35-F131&lt;0,0,SUM('Summary (HIDE)'!$K$35-F131))</f>
        <v>182.32594425680008</v>
      </c>
      <c r="G137" s="165">
        <f>IF('Summary (HIDE)'!$K$35-G131&lt;0,0,SUM('Summary (HIDE)'!$K$35-G131))</f>
        <v>182.32594425680008</v>
      </c>
      <c r="H137" s="165">
        <f>IF('Summary (HIDE)'!$K$35-H131&lt;0,0,SUM('Summary (HIDE)'!$K$35-H131))</f>
        <v>182.32594425680008</v>
      </c>
      <c r="I137" s="165">
        <f>IF('Summary (HIDE)'!$K$35-I131&lt;0,0,SUM('Summary (HIDE)'!$K$35-I131))</f>
        <v>182.32594425680008</v>
      </c>
      <c r="J137" s="165">
        <f>IF('Summary (HIDE)'!$K$35-J131&lt;0,0,SUM('Summary (HIDE)'!$K$35-J131))</f>
        <v>182.32594425680008</v>
      </c>
      <c r="K137" s="165">
        <f>IF('Summary (HIDE)'!$K$35-K131&lt;0,0,SUM('Summary (HIDE)'!$K$35-K131))</f>
        <v>182.32594425680008</v>
      </c>
      <c r="L137" s="165">
        <f>IF('Summary (HIDE)'!$K$35-L131&lt;0,0,SUM('Summary (HIDE)'!$K$35-L131))</f>
        <v>182.32594425680008</v>
      </c>
      <c r="M137" s="165">
        <f>IF('Summary (HIDE)'!$K$35-M131&lt;0,0,SUM('Summary (HIDE)'!$K$35-M131))</f>
        <v>182.32594425680008</v>
      </c>
      <c r="N137" s="165">
        <f>IF('Summary (HIDE)'!$K$35-N131&lt;0,0,SUM('Summary (HIDE)'!$K$35-N131))</f>
        <v>182.32594425680008</v>
      </c>
      <c r="O137" s="165">
        <f>IF('Summary (HIDE)'!$K$35-O131&lt;0,0,SUM('Summary (HIDE)'!$K$35-O131))</f>
        <v>182.32594425680008</v>
      </c>
      <c r="P137" s="165">
        <f>IF('Summary (HIDE)'!$K$35-P131&lt;0,0,SUM('Summary (HIDE)'!$K$35-P131))</f>
        <v>182.32594425680008</v>
      </c>
      <c r="Q137" s="165"/>
    </row>
    <row r="138" spans="1:17" ht="15.75" x14ac:dyDescent="0.25">
      <c r="A138" s="13" t="s">
        <v>122</v>
      </c>
    </row>
    <row r="139" spans="1:17" x14ac:dyDescent="0.2">
      <c r="A139" s="1" t="s">
        <v>17</v>
      </c>
      <c r="B139" s="166">
        <f>B131/'Summary (HIDE)'!$K$24</f>
        <v>0.86423605646602086</v>
      </c>
      <c r="C139" s="166">
        <f>C131/'Summary (HIDE)'!$K$24</f>
        <v>0.86423605646602086</v>
      </c>
      <c r="D139" s="166">
        <f>D131/'Summary (HIDE)'!$K$24</f>
        <v>0.86423605646602086</v>
      </c>
      <c r="E139" s="166">
        <f>E131/'Summary (HIDE)'!$K$24</f>
        <v>0.86423605646602086</v>
      </c>
      <c r="F139" s="166">
        <f>F131/'Summary (HIDE)'!$K$24</f>
        <v>0.86423605646602086</v>
      </c>
      <c r="G139" s="166">
        <f>G131/'Summary (HIDE)'!$K$24</f>
        <v>0.86423605646602086</v>
      </c>
      <c r="H139" s="166">
        <f>H131/'Summary (HIDE)'!$K$24</f>
        <v>0.86423605646602086</v>
      </c>
      <c r="I139" s="166">
        <f>I131/'Summary (HIDE)'!$K$24</f>
        <v>0.86423605646602086</v>
      </c>
      <c r="J139" s="166">
        <f>J131/'Summary (HIDE)'!$K$24</f>
        <v>0.86423605646602086</v>
      </c>
      <c r="K139" s="166">
        <f>K131/'Summary (HIDE)'!$K$24</f>
        <v>0.86423605646602086</v>
      </c>
      <c r="L139" s="166">
        <f>L131/'Summary (HIDE)'!$K$24</f>
        <v>0.86423605646602086</v>
      </c>
      <c r="M139" s="166">
        <f>M131/'Summary (HIDE)'!$K$24</f>
        <v>0.86423605646602086</v>
      </c>
      <c r="N139" s="166">
        <f>N131/'Summary (HIDE)'!$K$24</f>
        <v>0.86423605646602086</v>
      </c>
      <c r="O139" s="166">
        <f>O131/'Summary (HIDE)'!$K$24</f>
        <v>0.86423605646602086</v>
      </c>
      <c r="P139" s="166">
        <f>P131/'Summary (HIDE)'!$K$24</f>
        <v>0.86423605646602086</v>
      </c>
      <c r="Q139" s="166"/>
    </row>
    <row r="140" spans="1:17" x14ac:dyDescent="0.2">
      <c r="A140" s="1" t="s">
        <v>16</v>
      </c>
      <c r="B140" s="166">
        <f>B131/'Summary (HIDE)'!$K$35</f>
        <v>0.56119787538101606</v>
      </c>
      <c r="C140" s="166">
        <f>C131/'Summary (HIDE)'!$K$35</f>
        <v>0.56119787538101606</v>
      </c>
      <c r="D140" s="166">
        <f>D131/'Summary (HIDE)'!$K$35</f>
        <v>0.56119787538101606</v>
      </c>
      <c r="E140" s="166">
        <f>E131/'Summary (HIDE)'!$K$35</f>
        <v>0.56119787538101606</v>
      </c>
      <c r="F140" s="166">
        <f>F131/'Summary (HIDE)'!$K$35</f>
        <v>0.56119787538101606</v>
      </c>
      <c r="G140" s="166">
        <f>G131/'Summary (HIDE)'!$K$35</f>
        <v>0.56119787538101606</v>
      </c>
      <c r="H140" s="166">
        <f>H131/'Summary (HIDE)'!$K$35</f>
        <v>0.56119787538101606</v>
      </c>
      <c r="I140" s="166">
        <f>I131/'Summary (HIDE)'!$K$35</f>
        <v>0.56119787538101606</v>
      </c>
      <c r="J140" s="166">
        <f>J131/'Summary (HIDE)'!$K$35</f>
        <v>0.56119787538101606</v>
      </c>
      <c r="K140" s="166">
        <f>K131/'Summary (HIDE)'!$K$35</f>
        <v>0.56119787538101606</v>
      </c>
      <c r="L140" s="166">
        <f>L131/'Summary (HIDE)'!$K$35</f>
        <v>0.56119787538101606</v>
      </c>
      <c r="M140" s="166">
        <f>M131/'Summary (HIDE)'!$K$35</f>
        <v>0.56119787538101606</v>
      </c>
      <c r="N140" s="166">
        <f>N131/'Summary (HIDE)'!$K$35</f>
        <v>0.56119787538101606</v>
      </c>
      <c r="O140" s="166">
        <f>O131/'Summary (HIDE)'!$K$35</f>
        <v>0.56119787538101606</v>
      </c>
      <c r="P140" s="166">
        <f>P131/'Summary (HIDE)'!$K$35</f>
        <v>0.56119787538101606</v>
      </c>
      <c r="Q140" s="166"/>
    </row>
    <row r="143" spans="1:17" x14ac:dyDescent="0.2">
      <c r="A143"/>
      <c r="B143"/>
      <c r="C143"/>
      <c r="D143"/>
      <c r="E143"/>
      <c r="F143" s="314" t="str">
        <f>"(HDB = Hay Disaster Benefit = $"&amp;'DATA (HIDE)'!B11&amp;"/tonne, if more than 20% of the producers insured by AgriInsurance have less than 50% of their long-term probable yield)"</f>
        <v>(HDB = Hay Disaster Benefit = $44/tonne, if more than 20% of the producers insured by AgriInsurance have less than 50% of their long-term probable yield)</v>
      </c>
    </row>
    <row r="144" spans="1:17" x14ac:dyDescent="0.2">
      <c r="A144"/>
      <c r="B144"/>
      <c r="C144"/>
      <c r="D144"/>
      <c r="E144"/>
      <c r="F144" s="314" t="str">
        <f>'Forage Insurance'!C24&amp;" AgriInsurance Indemnity + HDB ($ per acre)"</f>
        <v>Forage Region 6 AgriInsurance Indemnity + HDB ($ per acre)</v>
      </c>
    </row>
    <row r="145" spans="1:6" x14ac:dyDescent="0.2">
      <c r="A145" s="79"/>
      <c r="B145" s="79"/>
      <c r="C145" s="79"/>
      <c r="D145" s="79"/>
      <c r="E145" s="79"/>
      <c r="F145" s="314" t="str">
        <f>'Forage Insurance'!C24&amp;" AgriInsurance Indemnity ($ per acre)"</f>
        <v>Forage Region 6 AgriInsurance Indemnity ($ per acre)</v>
      </c>
    </row>
    <row r="146" spans="1:6" x14ac:dyDescent="0.2">
      <c r="A146" s="79"/>
      <c r="B146" s="69" t="s">
        <v>242</v>
      </c>
      <c r="C146" s="69" t="str">
        <f>"Indemnity ($/ac) @ "&amp;'Forage Insurance'!C20&amp;" bale/ac yield"</f>
        <v>Indemnity ($/ac) @ 1 bale/ac yield</v>
      </c>
      <c r="D146" s="69" t="str">
        <f>'Forage Insurance'!B42</f>
        <v>Probable Yield (1,500 lb. bales/ac)</v>
      </c>
      <c r="E146" s="79" t="str">
        <f>"AgriInsurance "&amp;'Forage Insurance'!B51</f>
        <v>AgriInsurance Coverage (1,500 lb. bales/acre)</v>
      </c>
      <c r="F146" s="79" t="str">
        <f>"Est. Actual Yield ("&amp;'Forage Insurance'!C20&amp;" bale/ac)"</f>
        <v>Est. Actual Yield (1 bale/ac)</v>
      </c>
    </row>
    <row r="147" spans="1:6" x14ac:dyDescent="0.2">
      <c r="A147" s="79" t="str">
        <f>"Basic Hay High ($"&amp;'Forage Insurance'!C44&amp;"/acre, $"&amp;'DATA (HIDE)'!B10&amp;"/tonne)"</f>
        <v>Basic Hay High ($8.46/acre, $111/tonne)</v>
      </c>
      <c r="B147" s="315">
        <f>'Forage Insurance'!C$74</f>
        <v>62.994983262421641</v>
      </c>
      <c r="C147" s="315">
        <f>'Forage Insurance'!C$65</f>
        <v>45.112536400830983</v>
      </c>
      <c r="D147" s="340">
        <f>'Forage Insurance'!C$42</f>
        <v>2</v>
      </c>
      <c r="E147" s="340">
        <f>'Forage Insurance'!C$51</f>
        <v>1.5973333333333333</v>
      </c>
      <c r="F147" s="316">
        <f>'Forage Insurance'!$C$20</f>
        <v>1</v>
      </c>
    </row>
    <row r="148" spans="1:6" x14ac:dyDescent="0.2">
      <c r="A148" s="69" t="str">
        <f>"Alfalfa Grass &gt;4 years 80% ($"&amp;'Forage Insurance'!D44&amp;"/acre, $"&amp;'DATA (HIDE)'!B3&amp;"/tonne)"</f>
        <v>Alfalfa Grass &gt;4 years 80% ($17.78/acre, $183/tonne)</v>
      </c>
      <c r="B148" s="315">
        <f>'Forage Insurance'!D$74</f>
        <v>60.337835998947654</v>
      </c>
      <c r="C148" s="315">
        <f>'Forage Insurance'!D$65</f>
        <v>48.642396422059122</v>
      </c>
      <c r="D148" s="340">
        <f>'Forage Insurance'!D$42</f>
        <v>1.74</v>
      </c>
      <c r="E148" s="340">
        <f>'Forage Insurance'!D$51</f>
        <v>1.3906666666666667</v>
      </c>
      <c r="F148" s="316">
        <f>'Forage Insurance'!$D$20</f>
        <v>1</v>
      </c>
    </row>
    <row r="149" spans="1:6" x14ac:dyDescent="0.2">
      <c r="A149" s="69" t="str">
        <f>"Alfalfa Grass &lt;=4 years 80% ($"&amp;'Forage Insurance'!E44&amp;"/acre, $"&amp;'DATA (HIDE)'!B3&amp;"/tonne)"</f>
        <v>Alfalfa Grass &lt;=4 years 80% ($17.78/acre, $183/tonne)</v>
      </c>
      <c r="B149" s="315">
        <f>'Forage Insurance'!E$74</f>
        <v>148.99120936941515</v>
      </c>
      <c r="C149" s="315">
        <f>'Forage Insurance'!E$65</f>
        <v>120.11185601146684</v>
      </c>
      <c r="D149" s="340">
        <f>'Forage Insurance'!E$42</f>
        <v>2.77</v>
      </c>
      <c r="E149" s="340">
        <f>'Forage Insurance'!E$51</f>
        <v>2.2146666666666666</v>
      </c>
      <c r="F149" s="316">
        <f>'Forage Insurance'!$E$20</f>
        <v>1.25</v>
      </c>
    </row>
    <row r="150" spans="1:6" x14ac:dyDescent="0.2">
      <c r="A150" s="69" t="str">
        <f>"Alfalfa &gt;4 years 80% ($"&amp;'Forage Insurance'!F44&amp;"/acre, $"&amp;'DATA (HIDE)'!B2&amp;"/tonne)"</f>
        <v>Alfalfa &gt;4 years 80% ($28.64/acre, $222/tonne)</v>
      </c>
      <c r="B150" s="315">
        <f>'Forage Insurance'!F$74</f>
        <v>58.638676960201785</v>
      </c>
      <c r="C150" s="315">
        <f>'Forage Insurance'!F$65</f>
        <v>48.939046184830062</v>
      </c>
      <c r="D150" s="340">
        <f>'Forage Insurance'!F$42</f>
        <v>2.2799999999999998</v>
      </c>
      <c r="E150" s="340">
        <f>'Forage Insurance'!F$51</f>
        <v>1.8240000000000001</v>
      </c>
      <c r="F150" s="316">
        <f>'Forage Insurance'!$F$20</f>
        <v>1.5</v>
      </c>
    </row>
    <row r="151" spans="1:6" x14ac:dyDescent="0.2">
      <c r="A151" s="69" t="str">
        <f>"Alfalfa &lt;=4 years 80% ($"&amp;'Forage Insurance'!G44&amp;"/acre, $"&amp;'DATA (HIDE)'!B2&amp;"/tonne)"</f>
        <v>Alfalfa &lt;=4 years 80% ($28.64/acre, $222/tonne)</v>
      </c>
      <c r="B151" s="315">
        <f>'Forage Insurance'!G$74</f>
        <v>100.38555397302028</v>
      </c>
      <c r="C151" s="315">
        <f>'Forage Insurance'!G$65</f>
        <v>83.780424744400378</v>
      </c>
      <c r="D151" s="340">
        <f>'Forage Insurance'!G$42</f>
        <v>3.19</v>
      </c>
      <c r="E151" s="340">
        <f>'Forage Insurance'!G$51</f>
        <v>2.5546666666666669</v>
      </c>
      <c r="F151" s="316">
        <f>'Forage Insurance'!$G$20</f>
        <v>2</v>
      </c>
    </row>
    <row r="152" spans="1:6" x14ac:dyDescent="0.2">
      <c r="A152" s="69" t="str">
        <f>"Greenfeed 80%  ($"&amp;'Forage Insurance'!H44&amp;"/acre, $"&amp;ROUND('DATA (HIDE)'!C4/0.907185,0)&amp;"/tonne)"</f>
        <v>Greenfeed 80%  ($19.39/acre, $146/tonne)</v>
      </c>
      <c r="B152" s="315">
        <f>C152</f>
        <v>84.131150000000005</v>
      </c>
      <c r="C152" s="315">
        <f>'Forage Insurance'!H$65</f>
        <v>84.131150000000005</v>
      </c>
      <c r="D152" s="340">
        <f>'Forage Insurance'!H$42</f>
        <v>2.93</v>
      </c>
      <c r="E152" s="340">
        <f>'Forage Insurance'!H$51</f>
        <v>2.3466666666666667</v>
      </c>
      <c r="F152" s="316">
        <f>'Forage Insurance'!$H$20</f>
        <v>1.5</v>
      </c>
    </row>
  </sheetData>
  <mergeCells count="53">
    <mergeCell ref="P12:U12"/>
    <mergeCell ref="W12:AB12"/>
    <mergeCell ref="P31:Q31"/>
    <mergeCell ref="B30:C30"/>
    <mergeCell ref="B18:I18"/>
    <mergeCell ref="J20:K20"/>
    <mergeCell ref="B19:C19"/>
    <mergeCell ref="D19:E19"/>
    <mergeCell ref="H19:I19"/>
    <mergeCell ref="J19:K19"/>
    <mergeCell ref="J18:Q18"/>
    <mergeCell ref="F19:G19"/>
    <mergeCell ref="L19:M19"/>
    <mergeCell ref="L20:M20"/>
    <mergeCell ref="D30:E30"/>
    <mergeCell ref="B29:I29"/>
    <mergeCell ref="P30:Q30"/>
    <mergeCell ref="J29:Q29"/>
    <mergeCell ref="B20:C20"/>
    <mergeCell ref="D20:E20"/>
    <mergeCell ref="U18:W18"/>
    <mergeCell ref="U19:W19"/>
    <mergeCell ref="R18:T18"/>
    <mergeCell ref="R19:T19"/>
    <mergeCell ref="N19:O19"/>
    <mergeCell ref="N20:O20"/>
    <mergeCell ref="P19:Q19"/>
    <mergeCell ref="P20:Q20"/>
    <mergeCell ref="F20:G20"/>
    <mergeCell ref="H20:I20"/>
    <mergeCell ref="F30:G30"/>
    <mergeCell ref="H30:I30"/>
    <mergeCell ref="B127:G127"/>
    <mergeCell ref="B92:G92"/>
    <mergeCell ref="B110:G110"/>
    <mergeCell ref="J110:O110"/>
    <mergeCell ref="J92:O92"/>
    <mergeCell ref="B75:G75"/>
    <mergeCell ref="B41:G41"/>
    <mergeCell ref="B58:G58"/>
    <mergeCell ref="J30:K30"/>
    <mergeCell ref="L30:M30"/>
    <mergeCell ref="J41:O41"/>
    <mergeCell ref="J58:O58"/>
    <mergeCell ref="J75:O75"/>
    <mergeCell ref="L31:M31"/>
    <mergeCell ref="N31:O31"/>
    <mergeCell ref="N30:O30"/>
    <mergeCell ref="B31:C31"/>
    <mergeCell ref="D31:E31"/>
    <mergeCell ref="F31:G31"/>
    <mergeCell ref="H31:I31"/>
    <mergeCell ref="J31:K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N96"/>
  <sheetViews>
    <sheetView showGridLines="0" zoomScaleNormal="100" workbookViewId="0">
      <pane ySplit="7" topLeftCell="A17" activePane="bottomLeft" state="frozen"/>
      <selection pane="bottomLeft" sqref="A1:N1"/>
    </sheetView>
  </sheetViews>
  <sheetFormatPr defaultColWidth="10.28515625" defaultRowHeight="18" x14ac:dyDescent="0.25"/>
  <cols>
    <col min="1" max="1" width="2.140625" style="1" customWidth="1"/>
    <col min="2" max="2" width="29.7109375" style="1" customWidth="1"/>
    <col min="3" max="3" width="10.28515625" style="47" customWidth="1"/>
    <col min="4" max="4" width="10.7109375" style="47" customWidth="1"/>
    <col min="5" max="5" width="10.28515625" style="47" customWidth="1"/>
    <col min="6" max="6" width="2.85546875" style="47" customWidth="1"/>
    <col min="7" max="7" width="10.28515625" style="47" customWidth="1"/>
    <col min="8" max="8" width="10.7109375" style="47" customWidth="1"/>
    <col min="9" max="9" width="10.28515625" style="47" customWidth="1"/>
    <col min="10" max="10" width="1.85546875" style="1" customWidth="1"/>
    <col min="11" max="11" width="10.42578125" style="47" customWidth="1"/>
    <col min="12" max="12" width="9.7109375" style="47" customWidth="1"/>
    <col min="13" max="13" width="10.28515625" style="47" customWidth="1"/>
    <col min="14" max="14" width="1.85546875" style="1" customWidth="1"/>
    <col min="15" max="16384" width="10.28515625" style="2"/>
  </cols>
  <sheetData>
    <row r="1" spans="1:14" ht="18" customHeight="1" x14ac:dyDescent="0.25">
      <c r="A1" s="640" t="e">
        <f>"Dry Hay Production Costs - "&amp;#REF!&amp;""</f>
        <v>#REF!</v>
      </c>
      <c r="B1" s="640"/>
      <c r="C1" s="640"/>
      <c r="D1" s="640"/>
      <c r="E1" s="640"/>
      <c r="F1" s="640"/>
      <c r="G1" s="640"/>
      <c r="H1" s="640"/>
      <c r="I1" s="640"/>
      <c r="J1" s="640"/>
      <c r="K1" s="640"/>
      <c r="L1" s="640"/>
      <c r="M1" s="640"/>
      <c r="N1" s="640"/>
    </row>
    <row r="2" spans="1:14" ht="8.1" customHeight="1" x14ac:dyDescent="0.25">
      <c r="A2" s="19"/>
      <c r="B2" s="19"/>
      <c r="C2" s="33"/>
      <c r="D2" s="33"/>
      <c r="E2" s="33"/>
      <c r="F2" s="33"/>
      <c r="G2" s="33"/>
      <c r="H2" s="33"/>
      <c r="I2" s="33"/>
      <c r="J2" s="19"/>
      <c r="K2" s="33"/>
      <c r="L2" s="33"/>
      <c r="M2" s="33"/>
      <c r="N2" s="19"/>
    </row>
    <row r="3" spans="1:14" ht="15.75" customHeight="1" x14ac:dyDescent="0.25">
      <c r="A3" s="19"/>
      <c r="B3" s="19"/>
      <c r="C3" s="641" t="s">
        <v>30</v>
      </c>
      <c r="D3" s="641"/>
      <c r="E3" s="641"/>
      <c r="F3" s="34"/>
      <c r="G3" s="641" t="s">
        <v>32</v>
      </c>
      <c r="H3" s="641"/>
      <c r="I3" s="641"/>
      <c r="J3" s="19"/>
      <c r="K3" s="641" t="s">
        <v>112</v>
      </c>
      <c r="L3" s="641"/>
      <c r="M3" s="641"/>
      <c r="N3" s="641"/>
    </row>
    <row r="4" spans="1:14" s="23" customFormat="1" ht="15.75" customHeight="1" x14ac:dyDescent="0.25">
      <c r="A4" s="71"/>
      <c r="B4" s="22"/>
      <c r="C4" s="642" t="e">
        <f>"Annual (Years 2 to "&amp;#REF!+1&amp;")"</f>
        <v>#REF!</v>
      </c>
      <c r="D4" s="642"/>
      <c r="E4" s="642"/>
      <c r="F4" s="24"/>
      <c r="G4" s="24"/>
      <c r="H4" s="24" t="e">
        <f>"Annual (Years 2 to "&amp;#REF!+1&amp;")"</f>
        <v>#REF!</v>
      </c>
      <c r="I4" s="24"/>
      <c r="J4" s="67"/>
      <c r="K4" s="24"/>
      <c r="L4" s="24"/>
      <c r="M4" s="24"/>
      <c r="N4" s="67"/>
    </row>
    <row r="5" spans="1:14" s="23" customFormat="1" ht="15" x14ac:dyDescent="0.25">
      <c r="A5" s="71"/>
      <c r="B5" s="71"/>
      <c r="C5" s="636" t="s">
        <v>40</v>
      </c>
      <c r="D5" s="636"/>
      <c r="E5" s="636"/>
      <c r="F5" s="24"/>
      <c r="G5" s="636" t="s">
        <v>40</v>
      </c>
      <c r="H5" s="636"/>
      <c r="I5" s="636"/>
      <c r="J5" s="67"/>
      <c r="K5" s="636" t="s">
        <v>40</v>
      </c>
      <c r="L5" s="636"/>
      <c r="M5" s="636"/>
      <c r="N5" s="67"/>
    </row>
    <row r="6" spans="1:14" s="200" customFormat="1" ht="15.75" x14ac:dyDescent="0.25">
      <c r="A6" s="199"/>
      <c r="B6" s="199"/>
      <c r="C6" s="128"/>
      <c r="D6" s="128" t="s">
        <v>116</v>
      </c>
      <c r="E6" s="202" t="s">
        <v>170</v>
      </c>
      <c r="F6" s="128"/>
      <c r="G6" s="128"/>
      <c r="H6" s="128" t="s">
        <v>116</v>
      </c>
      <c r="I6" s="128" t="s">
        <v>117</v>
      </c>
      <c r="K6" s="128"/>
      <c r="L6" s="128" t="s">
        <v>116</v>
      </c>
      <c r="M6" s="128" t="s">
        <v>117</v>
      </c>
    </row>
    <row r="7" spans="1:14" s="68" customFormat="1" ht="14.25" customHeight="1" x14ac:dyDescent="0.25">
      <c r="A7" s="63"/>
      <c r="B7" s="63"/>
      <c r="C7" s="198" t="s">
        <v>1</v>
      </c>
      <c r="D7" s="198" t="s">
        <v>31</v>
      </c>
      <c r="E7" s="198" t="s">
        <v>31</v>
      </c>
      <c r="F7" s="198"/>
      <c r="G7" s="198" t="s">
        <v>1</v>
      </c>
      <c r="H7" s="198" t="s">
        <v>31</v>
      </c>
      <c r="I7" s="198" t="s">
        <v>31</v>
      </c>
      <c r="J7" s="18"/>
      <c r="K7" s="198" t="s">
        <v>1</v>
      </c>
      <c r="L7" s="198" t="s">
        <v>31</v>
      </c>
      <c r="M7" s="198" t="s">
        <v>31</v>
      </c>
    </row>
    <row r="8" spans="1:14" ht="15.75" customHeight="1" x14ac:dyDescent="0.25">
      <c r="A8" s="14" t="s">
        <v>5</v>
      </c>
      <c r="B8" s="18"/>
      <c r="C8" s="32"/>
      <c r="D8" s="9"/>
      <c r="E8" s="9"/>
      <c r="F8" s="9"/>
      <c r="G8" s="9"/>
      <c r="H8" s="9"/>
      <c r="I8" s="12"/>
      <c r="K8" s="9"/>
      <c r="L8" s="9"/>
      <c r="M8" s="12"/>
    </row>
    <row r="9" spans="1:14" ht="15.75" customHeight="1" x14ac:dyDescent="0.25">
      <c r="A9" s="12"/>
      <c r="B9" s="12" t="s">
        <v>28</v>
      </c>
      <c r="C9" s="56" t="s">
        <v>39</v>
      </c>
      <c r="D9" s="56"/>
      <c r="E9" s="56"/>
      <c r="F9" s="30"/>
      <c r="G9" s="56" t="s">
        <v>39</v>
      </c>
      <c r="H9" s="56"/>
      <c r="I9" s="56"/>
      <c r="K9" s="56" t="s">
        <v>39</v>
      </c>
      <c r="L9" s="56"/>
      <c r="M9" s="56"/>
    </row>
    <row r="10" spans="1:14" ht="15.75" customHeight="1" x14ac:dyDescent="0.25">
      <c r="A10" s="12"/>
      <c r="B10" s="12" t="s">
        <v>29</v>
      </c>
      <c r="C10" s="319" t="s">
        <v>39</v>
      </c>
      <c r="D10" s="319"/>
      <c r="E10" s="319"/>
      <c r="F10" s="320"/>
      <c r="G10" s="319" t="s">
        <v>39</v>
      </c>
      <c r="H10" s="319"/>
      <c r="I10" s="319"/>
      <c r="J10" s="321"/>
      <c r="K10" s="322">
        <v>35</v>
      </c>
      <c r="L10" s="48"/>
      <c r="M10" s="30"/>
    </row>
    <row r="11" spans="1:14" ht="17.25" customHeight="1" x14ac:dyDescent="0.25">
      <c r="A11" s="12"/>
      <c r="B11" s="12" t="s">
        <v>41</v>
      </c>
      <c r="C11" s="320">
        <v>50.041588010154001</v>
      </c>
      <c r="D11" s="323">
        <v>1</v>
      </c>
      <c r="E11" s="320"/>
      <c r="F11" s="320"/>
      <c r="G11" s="320">
        <v>33.139882933806135</v>
      </c>
      <c r="H11" s="323">
        <v>2</v>
      </c>
      <c r="I11" s="320"/>
      <c r="J11" s="321"/>
      <c r="K11" s="319" t="s">
        <v>39</v>
      </c>
      <c r="L11" s="56"/>
      <c r="M11" s="56"/>
    </row>
    <row r="12" spans="1:14" ht="15.75" customHeight="1" x14ac:dyDescent="0.25">
      <c r="A12" s="12"/>
      <c r="B12" s="12" t="s">
        <v>6</v>
      </c>
      <c r="C12" s="320">
        <v>151.66132817861023</v>
      </c>
      <c r="D12" s="320"/>
      <c r="E12" s="320"/>
      <c r="F12" s="320"/>
      <c r="G12" s="320">
        <v>120.17762394247926</v>
      </c>
      <c r="H12" s="320"/>
      <c r="I12" s="320"/>
      <c r="J12" s="321"/>
      <c r="K12" s="320">
        <v>134.10315372812761</v>
      </c>
      <c r="L12" s="48"/>
      <c r="M12" s="30"/>
    </row>
    <row r="13" spans="1:14" ht="15.75" customHeight="1" x14ac:dyDescent="0.25">
      <c r="A13" s="12"/>
      <c r="B13" s="12" t="s">
        <v>34</v>
      </c>
      <c r="C13" s="320">
        <v>0</v>
      </c>
      <c r="D13" s="320"/>
      <c r="E13" s="320"/>
      <c r="F13" s="320"/>
      <c r="G13" s="320">
        <v>0</v>
      </c>
      <c r="H13" s="320"/>
      <c r="I13" s="320"/>
      <c r="J13" s="321"/>
      <c r="K13" s="320">
        <v>16</v>
      </c>
      <c r="L13" s="48"/>
      <c r="M13" s="30"/>
    </row>
    <row r="14" spans="1:14" ht="15.75" customHeight="1" x14ac:dyDescent="0.25">
      <c r="A14" s="12"/>
      <c r="B14" s="12" t="s">
        <v>3</v>
      </c>
      <c r="C14" s="320">
        <v>15.654999999999999</v>
      </c>
      <c r="D14" s="320"/>
      <c r="E14" s="320"/>
      <c r="F14" s="320"/>
      <c r="G14" s="320">
        <v>10.912000000000001</v>
      </c>
      <c r="H14" s="320"/>
      <c r="I14" s="320"/>
      <c r="J14" s="321"/>
      <c r="K14" s="320">
        <v>18.476000000000003</v>
      </c>
      <c r="L14" s="48"/>
      <c r="M14" s="30"/>
    </row>
    <row r="15" spans="1:14" ht="15.75" customHeight="1" x14ac:dyDescent="0.25">
      <c r="A15" s="12"/>
      <c r="B15" s="12" t="s">
        <v>7</v>
      </c>
      <c r="C15" s="320">
        <v>12.104166666666668</v>
      </c>
      <c r="D15" s="320"/>
      <c r="E15" s="320"/>
      <c r="F15" s="320"/>
      <c r="G15" s="320">
        <v>12.104166666666668</v>
      </c>
      <c r="H15" s="320"/>
      <c r="I15" s="320"/>
      <c r="J15" s="321"/>
      <c r="K15" s="320">
        <v>12.104166666666668</v>
      </c>
      <c r="L15" s="48"/>
      <c r="M15" s="30"/>
    </row>
    <row r="16" spans="1:14" ht="15.75" customHeight="1" x14ac:dyDescent="0.25">
      <c r="A16" s="12"/>
      <c r="B16" s="12" t="s">
        <v>45</v>
      </c>
      <c r="C16" s="320">
        <v>2.4</v>
      </c>
      <c r="D16" s="320"/>
      <c r="E16" s="320"/>
      <c r="F16" s="320"/>
      <c r="G16" s="320">
        <v>2.4</v>
      </c>
      <c r="H16" s="320"/>
      <c r="I16" s="320"/>
      <c r="J16" s="321"/>
      <c r="K16" s="320">
        <v>2.4</v>
      </c>
      <c r="L16" s="48"/>
      <c r="M16" s="30"/>
    </row>
    <row r="17" spans="1:14" ht="15.75" customHeight="1" x14ac:dyDescent="0.25">
      <c r="A17" s="12"/>
      <c r="B17" s="12" t="s">
        <v>44</v>
      </c>
      <c r="C17" s="324">
        <v>14</v>
      </c>
      <c r="D17" s="320"/>
      <c r="E17" s="320"/>
      <c r="F17" s="320"/>
      <c r="G17" s="324">
        <v>11.16</v>
      </c>
      <c r="H17" s="320"/>
      <c r="I17" s="320"/>
      <c r="J17" s="321"/>
      <c r="K17" s="324">
        <v>11.32</v>
      </c>
      <c r="L17" s="48"/>
      <c r="M17" s="30"/>
    </row>
    <row r="18" spans="1:14" ht="15.75" customHeight="1" x14ac:dyDescent="0.25">
      <c r="A18" s="12"/>
      <c r="B18" s="12" t="s">
        <v>8</v>
      </c>
      <c r="C18" s="320">
        <v>24.15</v>
      </c>
      <c r="D18" s="320"/>
      <c r="E18" s="320"/>
      <c r="F18" s="320"/>
      <c r="G18" s="320">
        <v>7.22</v>
      </c>
      <c r="H18" s="320"/>
      <c r="I18" s="320"/>
      <c r="J18" s="321"/>
      <c r="K18" s="320">
        <v>17.009999999999998</v>
      </c>
      <c r="L18" s="48"/>
      <c r="M18" s="30"/>
    </row>
    <row r="19" spans="1:14" ht="15.75" customHeight="1" x14ac:dyDescent="0.25">
      <c r="A19" s="12"/>
      <c r="B19" s="12" t="s">
        <v>107</v>
      </c>
      <c r="C19" s="320">
        <v>5.1700000000000008</v>
      </c>
      <c r="D19" s="320"/>
      <c r="E19" s="320"/>
      <c r="F19" s="320"/>
      <c r="G19" s="320">
        <v>4.07</v>
      </c>
      <c r="H19" s="320"/>
      <c r="I19" s="320"/>
      <c r="J19" s="321"/>
      <c r="K19" s="320">
        <v>4.18</v>
      </c>
      <c r="L19" s="48"/>
      <c r="M19" s="30"/>
    </row>
    <row r="20" spans="1:14" ht="15.75" customHeight="1" x14ac:dyDescent="0.25">
      <c r="A20" s="12"/>
      <c r="B20" s="12" t="s">
        <v>108</v>
      </c>
      <c r="C20" s="319" t="s">
        <v>39</v>
      </c>
      <c r="D20" s="319"/>
      <c r="E20" s="319"/>
      <c r="F20" s="320"/>
      <c r="G20" s="319" t="s">
        <v>39</v>
      </c>
      <c r="H20" s="319"/>
      <c r="I20" s="319"/>
      <c r="J20" s="321"/>
      <c r="K20" s="319" t="s">
        <v>39</v>
      </c>
      <c r="L20" s="56"/>
      <c r="M20" s="56"/>
    </row>
    <row r="21" spans="1:14" ht="15.75" customHeight="1" x14ac:dyDescent="0.25">
      <c r="A21" s="12"/>
      <c r="B21" s="12" t="s">
        <v>9</v>
      </c>
      <c r="C21" s="320">
        <v>2</v>
      </c>
      <c r="D21" s="320"/>
      <c r="E21" s="320"/>
      <c r="F21" s="320"/>
      <c r="G21" s="320">
        <v>2</v>
      </c>
      <c r="H21" s="320"/>
      <c r="I21" s="320"/>
      <c r="J21" s="321"/>
      <c r="K21" s="320">
        <v>2</v>
      </c>
      <c r="L21" s="48"/>
      <c r="M21" s="30"/>
    </row>
    <row r="22" spans="1:14" ht="15.75" customHeight="1" x14ac:dyDescent="0.25">
      <c r="A22" s="12"/>
      <c r="B22" s="12" t="s">
        <v>10</v>
      </c>
      <c r="C22" s="320">
        <v>10</v>
      </c>
      <c r="D22" s="320"/>
      <c r="E22" s="320"/>
      <c r="F22" s="320"/>
      <c r="G22" s="320">
        <v>10</v>
      </c>
      <c r="H22" s="320"/>
      <c r="I22" s="320"/>
      <c r="J22" s="321"/>
      <c r="K22" s="320">
        <v>10</v>
      </c>
      <c r="L22" s="48"/>
      <c r="M22" s="30"/>
    </row>
    <row r="23" spans="1:14" ht="15.75" customHeight="1" x14ac:dyDescent="0.25">
      <c r="A23" s="12"/>
      <c r="B23" s="12" t="s">
        <v>11</v>
      </c>
      <c r="C23" s="325">
        <v>7.9</v>
      </c>
      <c r="D23" s="325"/>
      <c r="E23" s="325"/>
      <c r="F23" s="325"/>
      <c r="G23" s="325">
        <v>5.86</v>
      </c>
      <c r="H23" s="325"/>
      <c r="I23" s="325"/>
      <c r="J23" s="321"/>
      <c r="K23" s="325">
        <v>7.22</v>
      </c>
      <c r="L23" s="50"/>
      <c r="M23" s="16"/>
    </row>
    <row r="24" spans="1:14" ht="15.75" customHeight="1" x14ac:dyDescent="0.25">
      <c r="A24" s="12"/>
      <c r="B24" s="14" t="s">
        <v>18</v>
      </c>
      <c r="C24" s="61">
        <v>295.08208285543088</v>
      </c>
      <c r="D24" s="61"/>
      <c r="E24" s="61"/>
      <c r="F24" s="61"/>
      <c r="G24" s="61">
        <v>219.04367354295206</v>
      </c>
      <c r="H24" s="61"/>
      <c r="I24" s="61"/>
      <c r="J24" s="321"/>
      <c r="K24" s="61">
        <v>269.81332039479429</v>
      </c>
      <c r="L24" s="27"/>
      <c r="M24" s="27"/>
    </row>
    <row r="25" spans="1:14" ht="8.1" customHeight="1" x14ac:dyDescent="0.25">
      <c r="A25" s="12"/>
      <c r="B25" s="12"/>
      <c r="C25" s="30"/>
      <c r="D25" s="9"/>
      <c r="E25" s="9"/>
      <c r="F25" s="9"/>
      <c r="G25" s="30" t="s">
        <v>4</v>
      </c>
      <c r="H25" s="30"/>
      <c r="I25" s="10"/>
      <c r="K25" s="30" t="s">
        <v>4</v>
      </c>
      <c r="L25" s="30"/>
      <c r="M25" s="10"/>
    </row>
    <row r="26" spans="1:14" ht="15.75" customHeight="1" x14ac:dyDescent="0.25">
      <c r="A26" s="14" t="s">
        <v>12</v>
      </c>
      <c r="B26" s="18"/>
      <c r="C26" s="30"/>
      <c r="D26" s="30"/>
      <c r="E26" s="30"/>
      <c r="F26" s="30"/>
      <c r="G26" s="30" t="s">
        <v>4</v>
      </c>
      <c r="H26" s="30"/>
      <c r="I26" s="10"/>
      <c r="K26" s="30" t="s">
        <v>4</v>
      </c>
      <c r="L26" s="30"/>
      <c r="M26" s="10"/>
    </row>
    <row r="27" spans="1:14" s="3" customFormat="1" ht="15.75" customHeight="1" x14ac:dyDescent="0.25">
      <c r="A27" s="12"/>
      <c r="B27" s="12" t="s">
        <v>173</v>
      </c>
      <c r="C27" s="326">
        <v>59.89925074741798</v>
      </c>
      <c r="D27" s="327"/>
      <c r="E27" s="326"/>
      <c r="F27" s="326"/>
      <c r="G27" s="326">
        <v>59.89925074741798</v>
      </c>
      <c r="H27" s="327"/>
      <c r="I27" s="326"/>
      <c r="J27" s="328"/>
      <c r="K27" s="326">
        <v>59.89925074741798</v>
      </c>
      <c r="L27" s="48"/>
      <c r="M27" s="30"/>
      <c r="N27" s="18"/>
    </row>
    <row r="28" spans="1:14" s="3" customFormat="1" ht="15.75" customHeight="1" x14ac:dyDescent="0.25">
      <c r="A28" s="12"/>
      <c r="B28" s="12" t="s">
        <v>174</v>
      </c>
      <c r="C28" s="326">
        <v>48.29577311458786</v>
      </c>
      <c r="D28" s="327"/>
      <c r="E28" s="326"/>
      <c r="F28" s="326"/>
      <c r="G28" s="326">
        <v>48.29577311458786</v>
      </c>
      <c r="H28" s="327"/>
      <c r="I28" s="326"/>
      <c r="J28" s="328"/>
      <c r="K28" s="326">
        <v>48.29577311458786</v>
      </c>
      <c r="L28" s="48"/>
      <c r="M28" s="30"/>
      <c r="N28" s="18"/>
    </row>
    <row r="29" spans="1:14" ht="15.75" customHeight="1" x14ac:dyDescent="0.25">
      <c r="A29" s="12"/>
      <c r="B29" s="12" t="s">
        <v>13</v>
      </c>
      <c r="C29" s="329">
        <v>0</v>
      </c>
      <c r="D29" s="330"/>
      <c r="E29" s="329"/>
      <c r="F29" s="329"/>
      <c r="G29" s="329">
        <v>0</v>
      </c>
      <c r="H29" s="330"/>
      <c r="I29" s="329"/>
      <c r="J29" s="331"/>
      <c r="K29" s="329">
        <v>0</v>
      </c>
      <c r="L29" s="50"/>
      <c r="M29" s="16"/>
    </row>
    <row r="30" spans="1:14" ht="15.75" customHeight="1" x14ac:dyDescent="0.25">
      <c r="A30" s="12"/>
      <c r="B30" s="14" t="s">
        <v>19</v>
      </c>
      <c r="C30" s="27">
        <f>SUM(C27:C29)</f>
        <v>108.19502386200584</v>
      </c>
      <c r="D30" s="27"/>
      <c r="E30" s="27"/>
      <c r="F30" s="27"/>
      <c r="G30" s="27">
        <f>SUM(G27:G29)</f>
        <v>108.19502386200584</v>
      </c>
      <c r="H30" s="27"/>
      <c r="I30" s="27"/>
      <c r="J30" s="66"/>
      <c r="K30" s="27">
        <f>SUM(K27:K29)</f>
        <v>108.19502386200584</v>
      </c>
      <c r="L30" s="27"/>
      <c r="M30" s="27"/>
      <c r="N30" s="66"/>
    </row>
    <row r="31" spans="1:14" ht="15.75" customHeight="1" x14ac:dyDescent="0.25">
      <c r="A31" s="12"/>
      <c r="B31" s="14" t="s">
        <v>14</v>
      </c>
      <c r="C31" s="27">
        <f>+C24+C30</f>
        <v>403.27710671743671</v>
      </c>
      <c r="D31" s="27"/>
      <c r="E31" s="27"/>
      <c r="F31" s="27"/>
      <c r="G31" s="27">
        <f>+G24+G30</f>
        <v>327.23869740495792</v>
      </c>
      <c r="H31" s="27"/>
      <c r="I31" s="27"/>
      <c r="J31" s="66"/>
      <c r="K31" s="27">
        <f>+K24+K30</f>
        <v>378.00834425680011</v>
      </c>
      <c r="L31" s="27"/>
      <c r="M31" s="27"/>
      <c r="N31" s="66"/>
    </row>
    <row r="32" spans="1:14" ht="8.1" customHeight="1" x14ac:dyDescent="0.25">
      <c r="A32" s="12"/>
      <c r="B32" s="12"/>
      <c r="C32" s="9"/>
      <c r="D32" s="9"/>
      <c r="E32" s="9"/>
      <c r="F32" s="9"/>
      <c r="G32" s="9"/>
      <c r="H32" s="9"/>
      <c r="I32" s="9"/>
      <c r="K32" s="9"/>
      <c r="L32" s="9"/>
      <c r="M32" s="9"/>
    </row>
    <row r="33" spans="1:14" ht="15.75" customHeight="1" x14ac:dyDescent="0.25">
      <c r="A33" s="14" t="s">
        <v>15</v>
      </c>
      <c r="B33" s="18"/>
      <c r="C33" s="320">
        <v>30</v>
      </c>
      <c r="D33" s="320"/>
      <c r="E33" s="320"/>
      <c r="F33" s="320"/>
      <c r="G33" s="320">
        <v>30</v>
      </c>
      <c r="H33" s="320"/>
      <c r="I33" s="320"/>
      <c r="J33" s="321"/>
      <c r="K33" s="320">
        <v>37.5</v>
      </c>
      <c r="L33" s="48"/>
      <c r="M33" s="30"/>
    </row>
    <row r="34" spans="1:14" ht="8.1" customHeight="1" x14ac:dyDescent="0.25">
      <c r="A34" s="12"/>
      <c r="B34" s="12"/>
      <c r="C34" s="9"/>
      <c r="D34" s="9"/>
      <c r="E34" s="9"/>
      <c r="F34" s="9"/>
      <c r="G34" s="9"/>
      <c r="H34" s="9"/>
      <c r="I34" s="9"/>
      <c r="K34" s="9"/>
      <c r="L34" s="9"/>
      <c r="M34" s="9"/>
    </row>
    <row r="35" spans="1:14" ht="15.75" customHeight="1" x14ac:dyDescent="0.25">
      <c r="A35" s="139" t="s">
        <v>16</v>
      </c>
      <c r="B35" s="141"/>
      <c r="C35" s="194">
        <f>+C31+C33</f>
        <v>433.27710671743671</v>
      </c>
      <c r="D35" s="195"/>
      <c r="E35" s="194"/>
      <c r="F35" s="194"/>
      <c r="G35" s="194">
        <f>+G31+G33</f>
        <v>357.23869740495792</v>
      </c>
      <c r="H35" s="195"/>
      <c r="I35" s="194"/>
      <c r="J35" s="136"/>
      <c r="K35" s="194">
        <f>+K31+K33</f>
        <v>415.50834425680011</v>
      </c>
      <c r="L35" s="195"/>
      <c r="M35" s="194"/>
      <c r="N35" s="136"/>
    </row>
    <row r="36" spans="1:14" s="3" customFormat="1" ht="15.75" customHeight="1" x14ac:dyDescent="0.25">
      <c r="A36" s="21"/>
      <c r="B36" s="21"/>
      <c r="C36" s="47"/>
      <c r="D36" s="196"/>
      <c r="E36" s="196"/>
      <c r="F36" s="44"/>
      <c r="G36" s="47"/>
      <c r="H36" s="196"/>
      <c r="I36" s="196"/>
      <c r="J36" s="31"/>
      <c r="K36" s="47"/>
      <c r="L36" s="196"/>
      <c r="M36" s="196"/>
      <c r="N36" s="31"/>
    </row>
    <row r="37" spans="1:14" s="3" customFormat="1" ht="15.75" customHeight="1" x14ac:dyDescent="0.25">
      <c r="A37" s="21"/>
      <c r="B37" s="21"/>
      <c r="C37" s="52"/>
      <c r="D37" s="133"/>
      <c r="E37" s="133"/>
      <c r="F37" s="44"/>
      <c r="G37" s="52"/>
      <c r="H37" s="133"/>
      <c r="I37" s="133"/>
      <c r="J37" s="31"/>
      <c r="K37" s="52"/>
      <c r="L37" s="133"/>
      <c r="M37" s="133"/>
      <c r="N37" s="31"/>
    </row>
    <row r="38" spans="1:14" ht="8.1" customHeight="1" x14ac:dyDescent="0.25">
      <c r="A38" s="12"/>
      <c r="B38" s="12"/>
      <c r="C38" s="9"/>
      <c r="D38" s="9"/>
      <c r="E38" s="9"/>
      <c r="F38" s="9"/>
      <c r="G38" s="27"/>
      <c r="H38" s="9"/>
      <c r="I38" s="15"/>
      <c r="K38" s="27"/>
      <c r="L38" s="9"/>
      <c r="M38" s="15"/>
    </row>
    <row r="39" spans="1:14" ht="15.75" customHeight="1" x14ac:dyDescent="0.25">
      <c r="A39" s="639" t="s">
        <v>23</v>
      </c>
      <c r="B39" s="639"/>
      <c r="C39" s="639"/>
      <c r="D39" s="639"/>
      <c r="E39" s="639"/>
      <c r="F39" s="639"/>
      <c r="G39" s="639"/>
      <c r="H39" s="639"/>
      <c r="I39" s="639"/>
      <c r="J39" s="639"/>
      <c r="K39" s="639"/>
      <c r="L39" s="639"/>
      <c r="M39" s="639"/>
      <c r="N39" s="639"/>
    </row>
    <row r="40" spans="1:14" ht="7.5" customHeight="1" x14ac:dyDescent="0.25">
      <c r="A40" s="74"/>
      <c r="B40" s="74"/>
      <c r="C40" s="75"/>
      <c r="D40" s="75"/>
      <c r="E40" s="75"/>
      <c r="F40" s="75"/>
      <c r="G40" s="75"/>
      <c r="H40" s="75"/>
      <c r="I40" s="76"/>
      <c r="J40" s="77"/>
      <c r="K40" s="75"/>
      <c r="L40" s="75"/>
      <c r="M40" s="76"/>
      <c r="N40" s="77"/>
    </row>
    <row r="41" spans="1:14" s="1" customFormat="1" ht="15.75" customHeight="1" x14ac:dyDescent="0.25">
      <c r="A41" s="14" t="s">
        <v>21</v>
      </c>
      <c r="B41" s="18"/>
      <c r="C41" s="198"/>
      <c r="D41" s="201" t="s">
        <v>110</v>
      </c>
      <c r="E41" s="201" t="s">
        <v>111</v>
      </c>
      <c r="F41" s="21"/>
      <c r="G41" s="198"/>
      <c r="H41" s="201" t="s">
        <v>110</v>
      </c>
      <c r="I41" s="201" t="s">
        <v>111</v>
      </c>
      <c r="J41" s="14"/>
      <c r="K41" s="198"/>
      <c r="L41" s="201" t="s">
        <v>110</v>
      </c>
      <c r="M41" s="201" t="s">
        <v>111</v>
      </c>
      <c r="N41" s="14"/>
    </row>
    <row r="42" spans="1:14" ht="15.75" customHeight="1" x14ac:dyDescent="0.25">
      <c r="A42" s="12"/>
      <c r="B42" s="12" t="s">
        <v>38</v>
      </c>
      <c r="C42" s="2"/>
      <c r="D42" s="61">
        <v>200</v>
      </c>
      <c r="E42" s="27" t="e">
        <f>SUM(D45/E43)</f>
        <v>#REF!</v>
      </c>
      <c r="F42" s="36"/>
      <c r="H42" s="61">
        <v>170</v>
      </c>
      <c r="I42" s="27" t="e">
        <f>SUM(H45/I43)</f>
        <v>#REF!</v>
      </c>
      <c r="L42" s="61">
        <v>170</v>
      </c>
      <c r="M42" s="27" t="e">
        <f>SUM(L45/M43)</f>
        <v>#REF!</v>
      </c>
    </row>
    <row r="43" spans="1:14" s="3" customFormat="1" ht="15.75" customHeight="1" x14ac:dyDescent="0.25">
      <c r="A43" s="12"/>
      <c r="B43" s="12" t="s">
        <v>37</v>
      </c>
      <c r="D43" s="62" t="e">
        <f>#REF!</f>
        <v>#REF!</v>
      </c>
      <c r="E43" s="62" t="e">
        <f>#REF!</f>
        <v>#REF!</v>
      </c>
      <c r="F43" s="37"/>
      <c r="H43" s="62" t="e">
        <f>#REF!</f>
        <v>#REF!</v>
      </c>
      <c r="I43" s="62" t="e">
        <f>#REF!</f>
        <v>#REF!</v>
      </c>
      <c r="J43" s="18"/>
      <c r="L43" s="62" t="e">
        <f>#REF!</f>
        <v>#REF!</v>
      </c>
      <c r="M43" s="62" t="e">
        <f>#REF!</f>
        <v>#REF!</v>
      </c>
      <c r="N43" s="18"/>
    </row>
    <row r="44" spans="1:14" s="3" customFormat="1" ht="15.75" customHeight="1" x14ac:dyDescent="0.25">
      <c r="A44" s="12"/>
      <c r="B44" s="12" t="e">
        <f>"Total Yield (tons/"&amp;#REF!&amp;" acres)"</f>
        <v>#REF!</v>
      </c>
      <c r="D44" s="218" t="e">
        <f>SUM(D43*#REF!)</f>
        <v>#REF!</v>
      </c>
      <c r="E44" s="218" t="e">
        <f>SUM(E43*#REF!)</f>
        <v>#REF!</v>
      </c>
      <c r="F44" s="37"/>
      <c r="H44" s="218" t="e">
        <f>SUM(H43*#REF!)</f>
        <v>#REF!</v>
      </c>
      <c r="I44" s="218" t="e">
        <f>SUM(I43*#REF!)</f>
        <v>#REF!</v>
      </c>
      <c r="J44" s="18"/>
      <c r="L44" s="218" t="e">
        <f>SUM(L43*#REF!)</f>
        <v>#REF!</v>
      </c>
      <c r="M44" s="218" t="e">
        <f>SUM(M43*#REF!)</f>
        <v>#REF!</v>
      </c>
      <c r="N44" s="18"/>
    </row>
    <row r="45" spans="1:14" s="7" customFormat="1" ht="15.75" customHeight="1" x14ac:dyDescent="0.25">
      <c r="A45" s="14"/>
      <c r="B45" s="14" t="s">
        <v>36</v>
      </c>
      <c r="D45" s="27" t="e">
        <f>ROUND((D42*D43),2)</f>
        <v>#REF!</v>
      </c>
      <c r="E45" s="27"/>
      <c r="F45" s="36"/>
      <c r="H45" s="27" t="e">
        <f>ROUND((H42*H43),2)</f>
        <v>#REF!</v>
      </c>
      <c r="I45" s="55"/>
      <c r="J45" s="13"/>
      <c r="L45" s="27" t="e">
        <f>ROUND((L42*L43),2)</f>
        <v>#REF!</v>
      </c>
      <c r="M45" s="55"/>
      <c r="N45" s="13"/>
    </row>
    <row r="46" spans="1:14" ht="7.5" customHeight="1" x14ac:dyDescent="0.25">
      <c r="A46" s="131"/>
      <c r="B46" s="131"/>
      <c r="C46" s="134"/>
      <c r="D46" s="135"/>
      <c r="E46" s="135"/>
      <c r="F46" s="135"/>
      <c r="G46" s="134"/>
      <c r="H46" s="134"/>
      <c r="I46" s="134"/>
      <c r="J46" s="136"/>
      <c r="K46" s="134"/>
      <c r="L46" s="134"/>
      <c r="M46" s="134"/>
      <c r="N46" s="136"/>
    </row>
    <row r="47" spans="1:14" s="1" customFormat="1" ht="15" customHeight="1" x14ac:dyDescent="0.25">
      <c r="A47" s="12"/>
      <c r="B47" s="12"/>
      <c r="C47" s="28"/>
      <c r="D47" s="128" t="s">
        <v>116</v>
      </c>
      <c r="E47" s="128" t="s">
        <v>117</v>
      </c>
      <c r="F47" s="38"/>
      <c r="G47" s="28"/>
      <c r="H47" s="128" t="s">
        <v>116</v>
      </c>
      <c r="I47" s="128" t="s">
        <v>117</v>
      </c>
      <c r="K47" s="28"/>
      <c r="L47" s="128" t="s">
        <v>116</v>
      </c>
      <c r="M47" s="128" t="s">
        <v>117</v>
      </c>
    </row>
    <row r="48" spans="1:14" s="1" customFormat="1" ht="15" customHeight="1" x14ac:dyDescent="0.25">
      <c r="A48" s="14" t="s">
        <v>22</v>
      </c>
      <c r="B48" s="18"/>
      <c r="C48" s="198" t="s">
        <v>1</v>
      </c>
      <c r="D48" s="198" t="s">
        <v>31</v>
      </c>
      <c r="E48" s="198" t="s">
        <v>31</v>
      </c>
      <c r="F48" s="38"/>
      <c r="G48" s="198" t="s">
        <v>1</v>
      </c>
      <c r="H48" s="198" t="s">
        <v>31</v>
      </c>
      <c r="I48" s="198" t="s">
        <v>31</v>
      </c>
      <c r="K48" s="198" t="s">
        <v>1</v>
      </c>
      <c r="L48" s="198" t="s">
        <v>31</v>
      </c>
      <c r="M48" s="198" t="s">
        <v>31</v>
      </c>
    </row>
    <row r="49" spans="1:14" s="1" customFormat="1" ht="15.75" customHeight="1" x14ac:dyDescent="0.2">
      <c r="A49" s="12"/>
      <c r="B49" s="12" t="s">
        <v>25</v>
      </c>
      <c r="C49" s="29" t="e">
        <f>SUM(D45-C24)</f>
        <v>#REF!</v>
      </c>
      <c r="D49" s="29" t="e">
        <f>SUM(C49/#REF!)</f>
        <v>#REF!</v>
      </c>
      <c r="E49" s="29" t="e">
        <f>SUM(C49/#REF!)</f>
        <v>#REF!</v>
      </c>
      <c r="F49" s="39"/>
      <c r="G49" s="29" t="e">
        <f>SUM(H45-G24)</f>
        <v>#REF!</v>
      </c>
      <c r="H49" s="29" t="e">
        <f>SUM(G49/#REF!)</f>
        <v>#REF!</v>
      </c>
      <c r="I49" s="29" t="e">
        <f>SUM(G49/#REF!)</f>
        <v>#REF!</v>
      </c>
      <c r="K49" s="29" t="e">
        <f>SUM(L45-K24)</f>
        <v>#REF!</v>
      </c>
      <c r="L49" s="29" t="e">
        <f>SUM(K49/#REF!)</f>
        <v>#REF!</v>
      </c>
      <c r="M49" s="29" t="e">
        <f>SUM(K49/#REF!)</f>
        <v>#REF!</v>
      </c>
    </row>
    <row r="50" spans="1:14" s="13" customFormat="1" ht="15.75" customHeight="1" x14ac:dyDescent="0.25">
      <c r="A50" s="14"/>
      <c r="B50" s="197" t="s">
        <v>26</v>
      </c>
      <c r="C50" s="177" t="e">
        <f>SUM(D45-C35)</f>
        <v>#REF!</v>
      </c>
      <c r="D50" s="177" t="e">
        <f>SUM(C50/#REF!)</f>
        <v>#REF!</v>
      </c>
      <c r="E50" s="177" t="e">
        <f>SUM(C50/#REF!)</f>
        <v>#REF!</v>
      </c>
      <c r="F50" s="178"/>
      <c r="G50" s="177" t="e">
        <f>SUM(H45-G35)</f>
        <v>#REF!</v>
      </c>
      <c r="H50" s="177" t="e">
        <f>SUM(G50/#REF!)</f>
        <v>#REF!</v>
      </c>
      <c r="I50" s="177" t="e">
        <f>SUM(G50/#REF!)</f>
        <v>#REF!</v>
      </c>
      <c r="K50" s="177" t="e">
        <f>SUM(L45-K35)</f>
        <v>#REF!</v>
      </c>
      <c r="L50" s="177" t="e">
        <f>SUM(K50/#REF!)</f>
        <v>#REF!</v>
      </c>
      <c r="M50" s="177" t="e">
        <f>SUM(K50/#REF!)</f>
        <v>#REF!</v>
      </c>
    </row>
    <row r="51" spans="1:14" s="7" customFormat="1" ht="15.75" customHeight="1" x14ac:dyDescent="0.25">
      <c r="A51" s="14"/>
      <c r="B51" s="21" t="s">
        <v>24</v>
      </c>
      <c r="C51" s="40" t="e">
        <f>SUM(C24/D45)</f>
        <v>#REF!</v>
      </c>
      <c r="D51" s="70"/>
      <c r="E51" s="40"/>
      <c r="F51" s="40"/>
      <c r="G51" s="40" t="e">
        <f>SUM(G24/H45)</f>
        <v>#REF!</v>
      </c>
      <c r="H51" s="70"/>
      <c r="I51" s="40"/>
      <c r="J51" s="13"/>
      <c r="K51" s="40" t="e">
        <f>SUM(K24/L45)</f>
        <v>#REF!</v>
      </c>
      <c r="L51" s="70"/>
      <c r="M51" s="40"/>
      <c r="N51" s="13"/>
    </row>
    <row r="52" spans="1:14" ht="7.5" customHeight="1" x14ac:dyDescent="0.25">
      <c r="A52" s="131"/>
      <c r="B52" s="131"/>
      <c r="C52" s="137"/>
      <c r="D52" s="135"/>
      <c r="E52" s="135"/>
      <c r="F52" s="135"/>
      <c r="G52" s="138"/>
      <c r="H52" s="137"/>
      <c r="I52" s="138"/>
      <c r="J52" s="136"/>
      <c r="K52" s="138"/>
      <c r="L52" s="137"/>
      <c r="M52" s="138"/>
      <c r="N52" s="136"/>
    </row>
    <row r="53" spans="1:14" ht="15.75" customHeight="1" x14ac:dyDescent="0.25">
      <c r="A53" s="14" t="s">
        <v>114</v>
      </c>
      <c r="B53" s="18"/>
      <c r="C53" s="25"/>
      <c r="D53" s="129"/>
      <c r="E53" s="129"/>
      <c r="F53" s="41"/>
      <c r="G53" s="31"/>
      <c r="H53" s="129"/>
      <c r="I53" s="129"/>
      <c r="K53" s="31"/>
      <c r="L53" s="129"/>
      <c r="M53" s="129"/>
    </row>
    <row r="54" spans="1:14" ht="15.75" customHeight="1" x14ac:dyDescent="0.25">
      <c r="A54" s="12"/>
      <c r="B54" s="12" t="s">
        <v>17</v>
      </c>
      <c r="C54" s="49"/>
      <c r="D54" s="48" t="e">
        <f>SUM(C24/#REF!)</f>
        <v>#REF!</v>
      </c>
      <c r="E54" s="48" t="e">
        <f>SUM(C24/#REF!)</f>
        <v>#REF!</v>
      </c>
      <c r="F54" s="38"/>
      <c r="G54" s="30"/>
      <c r="H54" s="48" t="e">
        <f>SUM(G24/#REF!)</f>
        <v>#REF!</v>
      </c>
      <c r="I54" s="48" t="e">
        <f>SUM(G24/#REF!)</f>
        <v>#REF!</v>
      </c>
      <c r="K54" s="30"/>
      <c r="L54" s="48" t="e">
        <f>SUM(K24/#REF!)</f>
        <v>#REF!</v>
      </c>
      <c r="M54" s="48" t="e">
        <f>SUM(K24/#REF!)</f>
        <v>#REF!</v>
      </c>
    </row>
    <row r="55" spans="1:14" ht="15.75" customHeight="1" x14ac:dyDescent="0.25">
      <c r="A55" s="12"/>
      <c r="B55" s="14" t="s">
        <v>16</v>
      </c>
      <c r="C55" s="51"/>
      <c r="D55" s="52" t="e">
        <f>SUM(C35/#REF!)</f>
        <v>#REF!</v>
      </c>
      <c r="E55" s="52" t="e">
        <f>SUM(C35/#REF!)</f>
        <v>#REF!</v>
      </c>
      <c r="F55" s="36"/>
      <c r="G55" s="27"/>
      <c r="H55" s="52" t="e">
        <f>SUM(G35/#REF!)</f>
        <v>#REF!</v>
      </c>
      <c r="I55" s="52" t="e">
        <f>SUM(G35/#REF!)</f>
        <v>#REF!</v>
      </c>
      <c r="K55" s="27"/>
      <c r="L55" s="52" t="e">
        <f>SUM(K35/#REF!)</f>
        <v>#REF!</v>
      </c>
      <c r="M55" s="52" t="e">
        <f>SUM(K35/#REF!)</f>
        <v>#REF!</v>
      </c>
    </row>
    <row r="56" spans="1:14" ht="7.5" customHeight="1" x14ac:dyDescent="0.25">
      <c r="A56" s="131"/>
      <c r="B56" s="139"/>
      <c r="C56" s="140"/>
      <c r="D56" s="135"/>
      <c r="E56" s="135"/>
      <c r="F56" s="135"/>
      <c r="G56" s="140"/>
      <c r="H56" s="140"/>
      <c r="I56" s="140"/>
      <c r="J56" s="136"/>
      <c r="K56" s="140"/>
      <c r="L56" s="140"/>
      <c r="M56" s="140"/>
      <c r="N56" s="136"/>
    </row>
    <row r="57" spans="1:14" ht="15.75" customHeight="1" x14ac:dyDescent="0.25">
      <c r="A57" s="14" t="s">
        <v>115</v>
      </c>
      <c r="B57" s="18"/>
      <c r="C57" s="9"/>
      <c r="D57" s="130"/>
      <c r="E57" s="130"/>
      <c r="F57" s="42"/>
      <c r="G57" s="9"/>
      <c r="H57" s="130"/>
      <c r="I57" s="130"/>
      <c r="K57" s="9"/>
      <c r="L57" s="130"/>
      <c r="M57" s="130"/>
    </row>
    <row r="58" spans="1:14" ht="15.75" customHeight="1" x14ac:dyDescent="0.25">
      <c r="A58" s="12"/>
      <c r="B58" s="12" t="s">
        <v>17</v>
      </c>
      <c r="D58" s="53">
        <f>C24/D42</f>
        <v>1.4754104142771545</v>
      </c>
      <c r="E58" s="53" t="e">
        <f>C24/E42</f>
        <v>#REF!</v>
      </c>
      <c r="F58" s="43"/>
      <c r="H58" s="53">
        <f>G24/H42</f>
        <v>1.2884921973114827</v>
      </c>
      <c r="I58" s="53" t="e">
        <f>G24/I42</f>
        <v>#REF!</v>
      </c>
      <c r="L58" s="53">
        <f>K24/L42</f>
        <v>1.5871371787929076</v>
      </c>
      <c r="M58" s="53" t="e">
        <f>K24/M42</f>
        <v>#REF!</v>
      </c>
    </row>
    <row r="59" spans="1:14" ht="15.75" customHeight="1" x14ac:dyDescent="0.25">
      <c r="A59" s="12"/>
      <c r="B59" s="14" t="s">
        <v>16</v>
      </c>
      <c r="D59" s="54">
        <f>C35/D42</f>
        <v>2.1663855335871833</v>
      </c>
      <c r="E59" s="54" t="e">
        <f>C35/E42</f>
        <v>#REF!</v>
      </c>
      <c r="F59" s="44"/>
      <c r="H59" s="54">
        <f>G35/H42</f>
        <v>2.1014041023821055</v>
      </c>
      <c r="I59" s="54" t="e">
        <f>G35/I42</f>
        <v>#REF!</v>
      </c>
      <c r="L59" s="54">
        <f>K35/L42</f>
        <v>2.4441667309223538</v>
      </c>
      <c r="M59" s="54" t="e">
        <f>K35/M42</f>
        <v>#REF!</v>
      </c>
    </row>
    <row r="60" spans="1:14" ht="8.1" customHeight="1" x14ac:dyDescent="0.25">
      <c r="A60" s="131"/>
      <c r="B60" s="139"/>
      <c r="C60" s="141"/>
      <c r="D60" s="142"/>
      <c r="E60" s="143"/>
      <c r="F60" s="143"/>
      <c r="G60" s="141"/>
      <c r="H60" s="142"/>
      <c r="I60" s="144"/>
      <c r="J60" s="144"/>
      <c r="K60" s="141"/>
      <c r="L60" s="142"/>
      <c r="M60" s="144"/>
      <c r="N60" s="144"/>
    </row>
    <row r="61" spans="1:14" s="3" customFormat="1" ht="18.75" x14ac:dyDescent="0.25">
      <c r="A61" s="14" t="s">
        <v>119</v>
      </c>
      <c r="B61" s="14"/>
      <c r="C61" s="47"/>
      <c r="D61" s="196" t="e">
        <f>(((SUM(C11+C12+C13+C18+(C21/2)+C22+C27)+(C14*0.05)+(C33*0.05)+ROUND(SUM(C11+C12+C13+C18+(C21/2)+C22+(C14*0.05))/2*(#REF!),4))*1)/#REF!)/2000</f>
        <v>#REF!</v>
      </c>
      <c r="E61" s="148">
        <v>3</v>
      </c>
      <c r="F61" s="44"/>
      <c r="G61" s="47"/>
      <c r="H61" s="196" t="e">
        <f>(((SUM(G11+G12+G13+G18+(G21/2)+G22+G27)+(G14*0.05)+(G33*0.05)+ROUND(SUM(G11+G12+G13+G18+(G21/2)+G22+(G14*0.05))/2*(#REF!),4))*1)/#REF!)/2000</f>
        <v>#REF!</v>
      </c>
      <c r="I61" s="148">
        <v>3</v>
      </c>
      <c r="J61" s="18"/>
      <c r="K61" s="47"/>
      <c r="L61" s="196" t="e">
        <f>(((SUM(K10+K12+K13+K17+(K15*0.2)+(K16*0.2)+(K21/2)+K22+K27)+(K14*0.4)+(K33*0.2)+ROUND(SUM(K10+K12+K13+K17+(K15*0.2)+(K16*0.2)+(K21/2)+K22+(K14*0.4))/2*(#REF!),4))*1)/#REF!)/2000</f>
        <v>#REF!</v>
      </c>
      <c r="M61" s="148">
        <v>4</v>
      </c>
      <c r="N61" s="18"/>
    </row>
    <row r="62" spans="1:14" s="3" customFormat="1" ht="18.75" x14ac:dyDescent="0.25">
      <c r="A62" s="14" t="s">
        <v>176</v>
      </c>
      <c r="B62" s="14"/>
      <c r="C62" s="47"/>
      <c r="D62" s="219" t="e">
        <f>(((SUM(C11+C12+C13+C18+(C21/2)+C22+C27)+(C14*0.05)+(C33*0.05)+ROUND(SUM(C11+C12+C13+C18+(C21/2)+C22+(C14*0.05))/2*(#REF!),4))*1)/#REF!)</f>
        <v>#REF!</v>
      </c>
      <c r="E62" s="148"/>
      <c r="F62" s="44"/>
      <c r="G62" s="47"/>
      <c r="H62" s="219" t="e">
        <f>(((SUM(G11+G12+G13+G18+(G21/2)+G22+G27)+(G14*0.05)+(G33*0.05)+ROUND(SUM(G11+G12+G13+G18+(G21/2)+G22+(G14*0.05))/2*(#REF!),4))*1)/#REF!)</f>
        <v>#REF!</v>
      </c>
      <c r="I62" s="148"/>
      <c r="J62" s="18"/>
      <c r="K62" s="47"/>
      <c r="L62" s="219" t="e">
        <f>(((SUM(K10+K12+K13+K17+(K15*0.2)+(K16*0.2)+(K21/2)+K22+K27)+(K14*0.4)+(K33*0.2)+ROUND(SUM(K10+K12+K13+K17+(K15*0.2)+(K16*0.2)+(K21/2)+K22+(K14*0.4))/2*(#REF!),4))*1)/#REF!)</f>
        <v>#REF!</v>
      </c>
      <c r="M62" s="148"/>
      <c r="N62" s="18"/>
    </row>
    <row r="63" spans="1:14" s="3" customFormat="1" ht="18.75" x14ac:dyDescent="0.25">
      <c r="A63" s="14" t="s">
        <v>175</v>
      </c>
      <c r="B63" s="14"/>
      <c r="C63" s="47"/>
      <c r="D63" s="220" t="e">
        <f>SUM(D35-D62)</f>
        <v>#REF!</v>
      </c>
      <c r="E63" s="148"/>
      <c r="F63" s="44"/>
      <c r="G63" s="47"/>
      <c r="H63" s="220" t="e">
        <f>SUM(H35-H62)</f>
        <v>#REF!</v>
      </c>
      <c r="I63" s="148"/>
      <c r="J63" s="18"/>
      <c r="K63" s="47"/>
      <c r="L63" s="220" t="e">
        <f>SUM(L35-L62)</f>
        <v>#REF!</v>
      </c>
      <c r="M63" s="148"/>
      <c r="N63" s="18"/>
    </row>
    <row r="64" spans="1:14" ht="15.75" hidden="1" customHeight="1" x14ac:dyDescent="0.25">
      <c r="A64" s="639" t="s">
        <v>42</v>
      </c>
      <c r="B64" s="639"/>
      <c r="C64" s="639"/>
      <c r="D64" s="639"/>
      <c r="E64" s="639"/>
      <c r="F64" s="639"/>
      <c r="G64" s="639"/>
      <c r="H64" s="639"/>
      <c r="I64" s="639"/>
      <c r="J64" s="639"/>
      <c r="K64" s="639"/>
      <c r="L64" s="639"/>
      <c r="M64" s="639"/>
      <c r="N64" s="639"/>
    </row>
    <row r="65" spans="1:14" s="150" customFormat="1" ht="8.1" hidden="1" customHeight="1" x14ac:dyDescent="0.25">
      <c r="A65" s="145"/>
      <c r="B65" s="145"/>
      <c r="C65" s="188"/>
      <c r="D65" s="189"/>
      <c r="E65" s="189"/>
      <c r="F65" s="189"/>
      <c r="G65" s="188"/>
      <c r="H65" s="190"/>
      <c r="I65" s="190"/>
      <c r="J65" s="149"/>
      <c r="K65" s="188"/>
      <c r="L65" s="190"/>
      <c r="M65" s="190"/>
      <c r="N65" s="149"/>
    </row>
    <row r="66" spans="1:14" s="150" customFormat="1" ht="15.75" hidden="1" customHeight="1" x14ac:dyDescent="0.25">
      <c r="A66" s="145"/>
      <c r="B66" s="145"/>
      <c r="C66" s="637" t="str">
        <f>C3</f>
        <v>Alfalfa Hay</v>
      </c>
      <c r="D66" s="637"/>
      <c r="E66" s="637"/>
      <c r="F66" s="637"/>
      <c r="G66" s="637" t="str">
        <f>G3</f>
        <v>Alfalfa-Grass Hay</v>
      </c>
      <c r="H66" s="637"/>
      <c r="I66" s="637"/>
      <c r="J66" s="637"/>
      <c r="K66" s="637" t="str">
        <f>K3</f>
        <v>Greenfeed Hay</v>
      </c>
      <c r="L66" s="637"/>
      <c r="M66" s="637"/>
      <c r="N66" s="637"/>
    </row>
    <row r="67" spans="1:14" s="150" customFormat="1" ht="15.75" hidden="1" customHeight="1" x14ac:dyDescent="0.25">
      <c r="A67" s="145"/>
      <c r="B67" s="145"/>
      <c r="C67" s="638" t="s">
        <v>118</v>
      </c>
      <c r="D67" s="638"/>
      <c r="E67" s="638"/>
      <c r="F67" s="189"/>
      <c r="G67" s="638" t="s">
        <v>118</v>
      </c>
      <c r="H67" s="638"/>
      <c r="I67" s="638"/>
      <c r="J67" s="149"/>
      <c r="K67" s="638" t="s">
        <v>118</v>
      </c>
      <c r="L67" s="638"/>
      <c r="M67" s="638"/>
      <c r="N67" s="149"/>
    </row>
    <row r="68" spans="1:14" s="150" customFormat="1" ht="49.5" hidden="1" customHeight="1" x14ac:dyDescent="0.25">
      <c r="A68" s="145"/>
      <c r="B68" s="145"/>
      <c r="C68" s="191" t="e">
        <f>"TDN ("&amp;#REF!&amp;"%)"</f>
        <v>#REF!</v>
      </c>
      <c r="E68" s="191" t="e">
        <f>"Crude Protein ("&amp;#REF!&amp;"%)"</f>
        <v>#REF!</v>
      </c>
      <c r="F68" s="189"/>
      <c r="G68" s="191" t="e">
        <f>"TDN ("&amp;#REF!&amp;"%)"</f>
        <v>#REF!</v>
      </c>
      <c r="I68" s="191" t="e">
        <f>"Crude Protein ("&amp;#REF!&amp;"%)"</f>
        <v>#REF!</v>
      </c>
      <c r="J68" s="149"/>
      <c r="K68" s="191" t="e">
        <f>"TDN ("&amp;#REF!&amp;"%)"</f>
        <v>#REF!</v>
      </c>
      <c r="M68" s="191" t="e">
        <f>"Crude Protein ("&amp;#REF!&amp;"%)"</f>
        <v>#REF!</v>
      </c>
      <c r="N68" s="149"/>
    </row>
    <row r="69" spans="1:14" s="150" customFormat="1" ht="15.75" hidden="1" customHeight="1" x14ac:dyDescent="0.25">
      <c r="A69" s="192" t="s">
        <v>109</v>
      </c>
      <c r="C69" s="193" t="e">
        <f>(($E$35)/((2000*(#REF!/100))))</f>
        <v>#REF!</v>
      </c>
      <c r="E69" s="193" t="e">
        <f>(($E$35)/((2000*(#REF!/100))))</f>
        <v>#REF!</v>
      </c>
      <c r="F69" s="189"/>
      <c r="G69" s="193" t="e">
        <f>(($I$35)/((2000*(#REF!/100))))</f>
        <v>#REF!</v>
      </c>
      <c r="I69" s="193" t="e">
        <f>(($I$35)/((2000*(#REF!/100))))</f>
        <v>#REF!</v>
      </c>
      <c r="J69" s="149"/>
      <c r="K69" s="193" t="e">
        <f>(($M$35)/((2000*(#REF!/100))))</f>
        <v>#REF!</v>
      </c>
      <c r="M69" s="193" t="e">
        <f>(($M$35)/((2000*(#REF!/100))))</f>
        <v>#REF!</v>
      </c>
      <c r="N69" s="149"/>
    </row>
    <row r="70" spans="1:14" s="150" customFormat="1" ht="15.75" hidden="1" customHeight="1" x14ac:dyDescent="0.25">
      <c r="A70" s="192" t="e">
        <f>"With "&amp;#REF!*100&amp;"% Storage Loss (as fed)"</f>
        <v>#REF!</v>
      </c>
      <c r="C70" s="193" t="e">
        <f>(($E$35)/((2000*(1-#REF!)*(#REF!/100))))</f>
        <v>#REF!</v>
      </c>
      <c r="E70" s="193" t="e">
        <f>(($E$35)/((2000*(1-#REF!)*(#REF!/100))))</f>
        <v>#REF!</v>
      </c>
      <c r="F70" s="189"/>
      <c r="G70" s="193" t="e">
        <f>(($I$35)/((2000*(1-#REF!)*(#REF!/100))))</f>
        <v>#REF!</v>
      </c>
      <c r="I70" s="193" t="e">
        <f>(($I$35)/((2000*(1-#REF!)*(#REF!/100))))</f>
        <v>#REF!</v>
      </c>
      <c r="J70" s="149"/>
      <c r="K70" s="193" t="e">
        <f>(($M$35)/((2000*(1-#REF!)*(#REF!/100))))</f>
        <v>#REF!</v>
      </c>
      <c r="M70" s="193" t="e">
        <f>(($M$35)/((2000*(1-#REF!)*(#REF!/100))))</f>
        <v>#REF!</v>
      </c>
      <c r="N70" s="149"/>
    </row>
    <row r="71" spans="1:14" ht="7.5" customHeight="1" thickBot="1" x14ac:dyDescent="0.3">
      <c r="A71" s="17"/>
      <c r="B71" s="57"/>
      <c r="C71" s="58"/>
      <c r="D71" s="59"/>
      <c r="E71" s="59"/>
      <c r="F71" s="59"/>
      <c r="G71" s="58"/>
      <c r="H71" s="59"/>
      <c r="I71" s="59"/>
      <c r="J71" s="60"/>
      <c r="K71" s="58"/>
      <c r="L71" s="59"/>
      <c r="M71" s="59"/>
      <c r="N71" s="60"/>
    </row>
    <row r="72" spans="1:14" ht="15" customHeight="1" x14ac:dyDescent="0.25">
      <c r="A72" s="6" t="e">
        <f>"1.  Alfalfa establishment (without nurse crop) net cost of $"&amp;TEXT(-#REF!,"0.00")&amp;" (total cost minus estimated gross revenue) were amortized over "&amp;#REF!&amp;" hay production years."</f>
        <v>#REF!</v>
      </c>
      <c r="B72" s="64"/>
      <c r="C72" s="32"/>
      <c r="D72" s="32"/>
      <c r="E72" s="32"/>
      <c r="F72" s="32"/>
      <c r="G72" s="65"/>
      <c r="H72" s="32"/>
      <c r="I72" s="32"/>
      <c r="J72" s="64"/>
      <c r="K72" s="65"/>
      <c r="L72" s="32"/>
      <c r="M72" s="32"/>
      <c r="N72" s="64"/>
    </row>
    <row r="73" spans="1:14" ht="15" customHeight="1" x14ac:dyDescent="0.25">
      <c r="A73" s="635" t="e">
        <f>"2.  Alfalfa-grass establishment (with oat greenfeed nurse crop) net cost of $"&amp;TEXT(-#REF!,"0.00")&amp;" (total cost minus estimated gross revenue) were amortized over "&amp;#REF!&amp;" hay production years."</f>
        <v>#REF!</v>
      </c>
      <c r="B73" s="635"/>
      <c r="C73" s="635"/>
      <c r="D73" s="635"/>
      <c r="E73" s="635"/>
      <c r="F73" s="635"/>
      <c r="G73" s="635"/>
      <c r="H73" s="635"/>
      <c r="I73" s="635"/>
      <c r="J73" s="635"/>
      <c r="K73" s="635"/>
      <c r="L73" s="635"/>
      <c r="M73" s="635"/>
      <c r="N73" s="635"/>
    </row>
    <row r="74" spans="1:14" ht="15" customHeight="1" x14ac:dyDescent="0.25">
      <c r="A74" s="635"/>
      <c r="B74" s="635"/>
      <c r="C74" s="635"/>
      <c r="D74" s="635"/>
      <c r="E74" s="635"/>
      <c r="F74" s="635"/>
      <c r="G74" s="635"/>
      <c r="H74" s="635"/>
      <c r="I74" s="635"/>
      <c r="J74" s="635"/>
      <c r="K74" s="635"/>
      <c r="L74" s="635"/>
      <c r="M74" s="635"/>
      <c r="N74" s="635"/>
    </row>
    <row r="75" spans="1:14" ht="15" customHeight="1" x14ac:dyDescent="0.25">
      <c r="A75" s="635" t="str">
        <f>"3.  Cost of alfalfa and alfalfa-grass standing hay (includes: establishment, fertilizer, pesticide, land taxes, crop insurance, 5% of fuel and labour, 50% of other costs, and  land costs.)"</f>
        <v>3.  Cost of alfalfa and alfalfa-grass standing hay (includes: establishment, fertilizer, pesticide, land taxes, crop insurance, 5% of fuel and labour, 50% of other costs, and  land costs.)</v>
      </c>
      <c r="B75" s="635"/>
      <c r="C75" s="635"/>
      <c r="D75" s="635"/>
      <c r="E75" s="635"/>
      <c r="F75" s="635"/>
      <c r="G75" s="635"/>
      <c r="H75" s="635"/>
      <c r="I75" s="635"/>
      <c r="J75" s="635"/>
      <c r="K75" s="635"/>
      <c r="L75" s="635"/>
      <c r="M75" s="635"/>
      <c r="N75" s="635"/>
    </row>
    <row r="76" spans="1:14" ht="15" customHeight="1" x14ac:dyDescent="0.25">
      <c r="A76" s="635"/>
      <c r="B76" s="635"/>
      <c r="C76" s="635"/>
      <c r="D76" s="635"/>
      <c r="E76" s="635"/>
      <c r="F76" s="635"/>
      <c r="G76" s="635"/>
      <c r="H76" s="635"/>
      <c r="I76" s="635"/>
      <c r="J76" s="635"/>
      <c r="K76" s="635"/>
      <c r="L76" s="635"/>
      <c r="M76" s="635"/>
      <c r="N76" s="635"/>
    </row>
    <row r="77" spans="1:14" ht="15" customHeight="1" x14ac:dyDescent="0.25">
      <c r="A77" s="635" t="str">
        <f>"4.  Cost of greenfeed standing hay (includes: seed; fertilizer; pesticide; land taxes; crop insurance; 40% of fuel; 20% of labour,machinery lease, and machinery operating; 50% of other costs, and land costs.)"</f>
        <v>4.  Cost of greenfeed standing hay (includes: seed; fertilizer; pesticide; land taxes; crop insurance; 40% of fuel; 20% of labour,machinery lease, and machinery operating; 50% of other costs, and land costs.)</v>
      </c>
      <c r="B77" s="635"/>
      <c r="C77" s="635"/>
      <c r="D77" s="635"/>
      <c r="E77" s="635"/>
      <c r="F77" s="635"/>
      <c r="G77" s="635"/>
      <c r="H77" s="635"/>
      <c r="I77" s="635"/>
      <c r="J77" s="635"/>
      <c r="K77" s="635"/>
      <c r="L77" s="635"/>
      <c r="M77" s="635"/>
      <c r="N77" s="635"/>
    </row>
    <row r="78" spans="1:14" ht="15" customHeight="1" x14ac:dyDescent="0.25">
      <c r="A78" s="635"/>
      <c r="B78" s="635"/>
      <c r="C78" s="635"/>
      <c r="D78" s="635"/>
      <c r="E78" s="635"/>
      <c r="F78" s="635"/>
      <c r="G78" s="635"/>
      <c r="H78" s="635"/>
      <c r="I78" s="635"/>
      <c r="J78" s="635"/>
      <c r="K78" s="635"/>
      <c r="L78" s="635"/>
      <c r="M78" s="635"/>
      <c r="N78" s="635"/>
    </row>
    <row r="79" spans="1:14" ht="7.5" customHeight="1" x14ac:dyDescent="0.25">
      <c r="A79" s="132"/>
      <c r="B79" s="132"/>
      <c r="C79" s="132"/>
      <c r="D79" s="132"/>
      <c r="E79" s="132"/>
      <c r="F79" s="132"/>
      <c r="G79" s="132"/>
      <c r="H79" s="132"/>
      <c r="I79" s="132"/>
      <c r="J79" s="132"/>
      <c r="K79" s="132"/>
      <c r="L79" s="132"/>
      <c r="M79" s="132"/>
      <c r="N79" s="132"/>
    </row>
    <row r="80" spans="1:14" ht="15.75" customHeight="1" x14ac:dyDescent="0.25">
      <c r="A80" s="634" t="s">
        <v>43</v>
      </c>
      <c r="B80" s="634"/>
      <c r="C80" s="634"/>
      <c r="D80" s="634"/>
      <c r="E80" s="634"/>
      <c r="F80" s="634"/>
      <c r="G80" s="634"/>
      <c r="H80" s="634"/>
      <c r="I80" s="634"/>
      <c r="J80" s="634"/>
      <c r="K80" s="634"/>
      <c r="L80" s="634"/>
      <c r="M80" s="634"/>
      <c r="N80" s="634"/>
    </row>
    <row r="81" spans="1:14" ht="15.75" customHeight="1" x14ac:dyDescent="0.25">
      <c r="A81" s="634"/>
      <c r="B81" s="634"/>
      <c r="C81" s="634"/>
      <c r="D81" s="634"/>
      <c r="E81" s="634"/>
      <c r="F81" s="634"/>
      <c r="G81" s="634"/>
      <c r="H81" s="634"/>
      <c r="I81" s="634"/>
      <c r="J81" s="634"/>
      <c r="K81" s="634"/>
      <c r="L81" s="634"/>
      <c r="M81" s="634"/>
      <c r="N81" s="634"/>
    </row>
    <row r="82" spans="1:14" ht="15.75" customHeight="1" x14ac:dyDescent="0.25">
      <c r="A82" s="11"/>
      <c r="B82" s="26"/>
      <c r="C82" s="45"/>
      <c r="D82" s="45"/>
      <c r="E82" s="45"/>
      <c r="F82" s="45"/>
      <c r="G82" s="45"/>
      <c r="H82" s="45"/>
      <c r="I82" s="45"/>
      <c r="J82" s="11"/>
      <c r="K82" s="45"/>
      <c r="L82" s="45"/>
      <c r="M82" s="45"/>
      <c r="N82" s="11"/>
    </row>
    <row r="83" spans="1:14" s="7" customFormat="1" x14ac:dyDescent="0.25">
      <c r="A83" s="5"/>
      <c r="B83" s="13"/>
      <c r="C83" s="46"/>
      <c r="D83" s="46"/>
      <c r="E83" s="46"/>
      <c r="F83" s="46"/>
      <c r="G83" s="46"/>
      <c r="H83" s="46"/>
      <c r="I83" s="46"/>
      <c r="J83" s="13"/>
      <c r="K83" s="46"/>
      <c r="L83" s="46"/>
      <c r="M83" s="46"/>
      <c r="N83" s="13"/>
    </row>
    <row r="84" spans="1:14" ht="8.1" customHeight="1" x14ac:dyDescent="0.25">
      <c r="A84" s="4"/>
    </row>
    <row r="85" spans="1:14" x14ac:dyDescent="0.25">
      <c r="A85" s="4"/>
    </row>
    <row r="86" spans="1:14" x14ac:dyDescent="0.25">
      <c r="A86" s="4"/>
    </row>
    <row r="87" spans="1:14" x14ac:dyDescent="0.25">
      <c r="A87" s="4"/>
    </row>
    <row r="88" spans="1:14" x14ac:dyDescent="0.25">
      <c r="A88" s="4"/>
    </row>
    <row r="89" spans="1:14" ht="8.1" customHeight="1" x14ac:dyDescent="0.25">
      <c r="A89" s="4"/>
    </row>
    <row r="90" spans="1:14" x14ac:dyDescent="0.25">
      <c r="A90" s="4"/>
    </row>
    <row r="91" spans="1:14" x14ac:dyDescent="0.25">
      <c r="A91" s="4"/>
    </row>
    <row r="92" spans="1:14" x14ac:dyDescent="0.25">
      <c r="A92" s="4"/>
    </row>
    <row r="93" spans="1:14" x14ac:dyDescent="0.25">
      <c r="A93" s="4"/>
    </row>
    <row r="94" spans="1:14" ht="8.1" customHeight="1" x14ac:dyDescent="0.25">
      <c r="A94" s="4"/>
    </row>
    <row r="95" spans="1:14" x14ac:dyDescent="0.25">
      <c r="A95" s="4"/>
    </row>
    <row r="96" spans="1:14" ht="18" customHeight="1" x14ac:dyDescent="0.25"/>
  </sheetData>
  <mergeCells count="20">
    <mergeCell ref="A1:N1"/>
    <mergeCell ref="A73:N74"/>
    <mergeCell ref="A75:N76"/>
    <mergeCell ref="C3:E3"/>
    <mergeCell ref="G3:I3"/>
    <mergeCell ref="C67:E67"/>
    <mergeCell ref="G67:I67"/>
    <mergeCell ref="C66:F66"/>
    <mergeCell ref="K3:N3"/>
    <mergeCell ref="C4:E4"/>
    <mergeCell ref="A80:N81"/>
    <mergeCell ref="A77:N78"/>
    <mergeCell ref="K5:M5"/>
    <mergeCell ref="K66:N66"/>
    <mergeCell ref="C5:E5"/>
    <mergeCell ref="G5:I5"/>
    <mergeCell ref="G66:J66"/>
    <mergeCell ref="K67:M67"/>
    <mergeCell ref="A39:N39"/>
    <mergeCell ref="A64:N64"/>
  </mergeCells>
  <phoneticPr fontId="1" type="noConversion"/>
  <printOptions horizontalCentered="1"/>
  <pageMargins left="0.51181102362204722" right="0.51181102362204722" top="0.74803149606299213" bottom="0.74803149606299213" header="0.31496062992125984" footer="0.31496062992125984"/>
  <pageSetup scale="59" firstPageNumber="2" fitToWidth="2" pageOrder="overThenDown" orientation="portrait" useFirstPageNumber="1" r:id="rId1"/>
  <headerFooter scaleWithDoc="0">
    <oddHeader>&amp;L&amp;8Guidelines: Hay Production Costs
&amp;R&amp;8&amp;P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51"/>
  <sheetViews>
    <sheetView topLeftCell="A28" workbookViewId="0">
      <selection activeCell="F58" sqref="F58"/>
    </sheetView>
  </sheetViews>
  <sheetFormatPr defaultRowHeight="12.75" x14ac:dyDescent="0.2"/>
  <cols>
    <col min="1" max="1" width="36.42578125" customWidth="1"/>
    <col min="2" max="2" width="13.5703125" customWidth="1"/>
    <col min="3" max="3" width="14.28515625" customWidth="1"/>
    <col min="4" max="4" width="18.85546875" customWidth="1"/>
    <col min="5" max="5" width="17.7109375" customWidth="1"/>
    <col min="9" max="9" width="11.7109375" bestFit="1" customWidth="1"/>
  </cols>
  <sheetData>
    <row r="1" spans="1:9" ht="15.75" thickBot="1" x14ac:dyDescent="0.3">
      <c r="A1" s="89" t="s">
        <v>46</v>
      </c>
    </row>
    <row r="2" spans="1:9" ht="30.75" thickBot="1" x14ac:dyDescent="0.3">
      <c r="A2" s="643" t="s">
        <v>47</v>
      </c>
      <c r="B2" s="644"/>
      <c r="C2" s="90" t="s">
        <v>48</v>
      </c>
      <c r="D2" s="90" t="s">
        <v>49</v>
      </c>
      <c r="E2" s="90" t="s">
        <v>50</v>
      </c>
    </row>
    <row r="3" spans="1:9" ht="15.75" thickBot="1" x14ac:dyDescent="0.3">
      <c r="A3" s="91" t="s">
        <v>51</v>
      </c>
      <c r="B3" s="91" t="s">
        <v>52</v>
      </c>
      <c r="C3" s="92">
        <v>250</v>
      </c>
      <c r="D3" s="92">
        <v>250</v>
      </c>
      <c r="E3" s="92">
        <v>250</v>
      </c>
      <c r="H3" s="93" t="s">
        <v>53</v>
      </c>
    </row>
    <row r="4" spans="1:9" ht="15.75" thickBot="1" x14ac:dyDescent="0.3">
      <c r="A4" s="94" t="s">
        <v>54</v>
      </c>
      <c r="B4" s="95" t="s">
        <v>55</v>
      </c>
      <c r="C4" s="96">
        <v>3</v>
      </c>
      <c r="D4" s="96">
        <v>3</v>
      </c>
      <c r="E4" s="96">
        <v>3</v>
      </c>
      <c r="F4" s="97"/>
      <c r="G4" s="97"/>
      <c r="H4" s="97" t="s">
        <v>56</v>
      </c>
      <c r="I4" s="97"/>
    </row>
    <row r="5" spans="1:9" ht="15.75" thickBot="1" x14ac:dyDescent="0.3">
      <c r="A5" s="94"/>
      <c r="B5" s="95"/>
      <c r="C5" s="96"/>
      <c r="D5" s="96"/>
      <c r="E5" s="96"/>
      <c r="F5" s="97"/>
      <c r="G5" s="97"/>
      <c r="H5" s="97"/>
      <c r="I5" s="97"/>
    </row>
    <row r="6" spans="1:9" ht="15.75" thickBot="1" x14ac:dyDescent="0.3">
      <c r="A6" s="91" t="s">
        <v>57</v>
      </c>
      <c r="B6" s="91" t="s">
        <v>58</v>
      </c>
      <c r="C6" s="98">
        <v>0.1</v>
      </c>
      <c r="D6" s="98">
        <v>0.53</v>
      </c>
      <c r="E6" s="98">
        <v>0.35</v>
      </c>
    </row>
    <row r="7" spans="1:9" ht="15.75" thickBot="1" x14ac:dyDescent="0.3">
      <c r="A7" s="91" t="s">
        <v>59</v>
      </c>
      <c r="B7" s="91" t="s">
        <v>58</v>
      </c>
      <c r="C7" s="99">
        <f>SUM(1-C6)</f>
        <v>0.9</v>
      </c>
      <c r="D7" s="99">
        <f>SUM(1-D6)</f>
        <v>0.47</v>
      </c>
      <c r="E7" s="99">
        <f>SUM(1-E6)</f>
        <v>0.65</v>
      </c>
      <c r="H7" t="s">
        <v>60</v>
      </c>
    </row>
    <row r="8" spans="1:9" ht="15.75" thickBot="1" x14ac:dyDescent="0.3">
      <c r="A8" s="645" t="s">
        <v>61</v>
      </c>
      <c r="B8" s="646"/>
      <c r="C8" s="92">
        <v>2</v>
      </c>
      <c r="D8" s="92">
        <v>2</v>
      </c>
      <c r="E8" s="92">
        <v>2</v>
      </c>
    </row>
    <row r="9" spans="1:9" ht="15.75" thickBot="1" x14ac:dyDescent="0.3">
      <c r="A9" s="647" t="s">
        <v>62</v>
      </c>
      <c r="B9" s="648"/>
      <c r="C9" s="92">
        <v>2</v>
      </c>
      <c r="D9" s="92">
        <v>0</v>
      </c>
      <c r="E9" s="92">
        <v>0</v>
      </c>
    </row>
    <row r="10" spans="1:9" ht="15.75" thickBot="1" x14ac:dyDescent="0.3">
      <c r="A10" s="91" t="s">
        <v>63</v>
      </c>
      <c r="B10" s="91" t="s">
        <v>0</v>
      </c>
      <c r="C10" s="92">
        <v>1250</v>
      </c>
      <c r="D10" s="92">
        <v>2000</v>
      </c>
      <c r="E10" s="92">
        <v>0</v>
      </c>
    </row>
    <row r="11" spans="1:9" ht="15.75" thickBot="1" x14ac:dyDescent="0.3">
      <c r="A11" s="647" t="s">
        <v>64</v>
      </c>
      <c r="B11" s="648"/>
      <c r="C11" s="100">
        <f>ROUND((((C4*2000)/C7)/C10)*C3,0)</f>
        <v>1333</v>
      </c>
      <c r="D11" s="100">
        <f>ROUND((((D4*2000)/D7)/D10)*D3,0)</f>
        <v>1596</v>
      </c>
      <c r="E11" s="100">
        <f>ROUND((E4/E7)*E3,0)</f>
        <v>1154</v>
      </c>
      <c r="F11" t="s">
        <v>65</v>
      </c>
    </row>
    <row r="12" spans="1:9" ht="29.25" thickBot="1" x14ac:dyDescent="0.3">
      <c r="A12" s="101" t="s">
        <v>66</v>
      </c>
      <c r="B12" s="102" t="s">
        <v>58</v>
      </c>
      <c r="C12" s="98">
        <v>0.54</v>
      </c>
      <c r="D12" s="98">
        <v>0.56999999999999995</v>
      </c>
      <c r="E12" s="98">
        <v>0.56999999999999995</v>
      </c>
    </row>
    <row r="13" spans="1:9" ht="15.75" thickBot="1" x14ac:dyDescent="0.3">
      <c r="A13" s="101" t="s">
        <v>67</v>
      </c>
      <c r="B13" s="102" t="s">
        <v>58</v>
      </c>
      <c r="C13" s="103">
        <v>0.1</v>
      </c>
      <c r="D13" s="103">
        <v>0.13</v>
      </c>
      <c r="E13" s="103">
        <v>0.13</v>
      </c>
    </row>
    <row r="14" spans="1:9" ht="15.75" thickBot="1" x14ac:dyDescent="0.3">
      <c r="A14" s="101" t="s">
        <v>68</v>
      </c>
      <c r="B14" s="102" t="s">
        <v>58</v>
      </c>
      <c r="C14" s="98">
        <v>0.25</v>
      </c>
      <c r="D14" s="98">
        <v>0.05</v>
      </c>
      <c r="E14" s="98">
        <v>0.15</v>
      </c>
    </row>
    <row r="15" spans="1:9" ht="15" thickBot="1" x14ac:dyDescent="0.25">
      <c r="A15" s="91" t="s">
        <v>69</v>
      </c>
      <c r="B15" s="91" t="s">
        <v>0</v>
      </c>
      <c r="C15" s="104">
        <f>C11*C10</f>
        <v>1666250</v>
      </c>
      <c r="D15" s="104">
        <f>D11*D10</f>
        <v>3192000</v>
      </c>
      <c r="E15" s="104">
        <f>E11*2000</f>
        <v>2308000</v>
      </c>
      <c r="G15" s="105" t="s">
        <v>70</v>
      </c>
      <c r="I15" s="106">
        <f>E4*E3*2000</f>
        <v>1500000</v>
      </c>
    </row>
    <row r="16" spans="1:9" ht="15" thickBot="1" x14ac:dyDescent="0.25">
      <c r="A16" s="91" t="s">
        <v>71</v>
      </c>
      <c r="B16" s="91" t="s">
        <v>0</v>
      </c>
      <c r="C16" s="104">
        <f>C15*C7</f>
        <v>1499625</v>
      </c>
      <c r="D16" s="104">
        <f>D15*D7</f>
        <v>1500240</v>
      </c>
      <c r="E16" s="104">
        <f>E15*E7</f>
        <v>1500200</v>
      </c>
      <c r="G16" s="105"/>
    </row>
    <row r="17" spans="1:9" ht="15" thickBot="1" x14ac:dyDescent="0.25">
      <c r="A17" s="91" t="s">
        <v>72</v>
      </c>
      <c r="B17" s="91" t="s">
        <v>0</v>
      </c>
      <c r="C17" s="104">
        <f>C16*C12</f>
        <v>809797.5</v>
      </c>
      <c r="D17" s="104">
        <f>D16*D12</f>
        <v>855136.79999999993</v>
      </c>
      <c r="E17" s="104">
        <f>E16*E12</f>
        <v>855113.99999999988</v>
      </c>
      <c r="G17" s="105"/>
    </row>
    <row r="18" spans="1:9" ht="15" thickBot="1" x14ac:dyDescent="0.25">
      <c r="A18" s="91" t="s">
        <v>73</v>
      </c>
      <c r="B18" s="91" t="s">
        <v>0</v>
      </c>
      <c r="C18" s="107">
        <f>C16*C13</f>
        <v>149962.5</v>
      </c>
      <c r="D18" s="107">
        <f>D16*D13</f>
        <v>195031.2</v>
      </c>
      <c r="E18" s="107">
        <f>E16*E13</f>
        <v>195026</v>
      </c>
      <c r="G18" s="105"/>
    </row>
    <row r="19" spans="1:9" ht="15" thickBot="1" x14ac:dyDescent="0.25">
      <c r="A19" s="91" t="s">
        <v>74</v>
      </c>
      <c r="B19" s="108" t="s">
        <v>0</v>
      </c>
      <c r="C19" s="109">
        <f>C15-(C15*C14)</f>
        <v>1249687.5</v>
      </c>
      <c r="D19" s="109">
        <f>D15-(D15*D14)</f>
        <v>3032400</v>
      </c>
      <c r="E19" s="109">
        <f>E15-(E15*E14)</f>
        <v>1961800</v>
      </c>
      <c r="G19" s="105"/>
    </row>
    <row r="20" spans="1:9" ht="15" thickBot="1" x14ac:dyDescent="0.25">
      <c r="A20" s="91" t="s">
        <v>75</v>
      </c>
      <c r="B20" s="91" t="s">
        <v>0</v>
      </c>
      <c r="C20" s="110">
        <f>C19*C7</f>
        <v>1124718.75</v>
      </c>
      <c r="D20" s="110">
        <f>D19*D7</f>
        <v>1425228</v>
      </c>
      <c r="E20" s="110">
        <f>E19*E7</f>
        <v>1275170</v>
      </c>
      <c r="G20" s="105"/>
    </row>
    <row r="21" spans="1:9" ht="15" thickBot="1" x14ac:dyDescent="0.25">
      <c r="A21" s="91" t="s">
        <v>76</v>
      </c>
      <c r="B21" s="91" t="s">
        <v>0</v>
      </c>
      <c r="C21" s="104">
        <f>C20*C12</f>
        <v>607348.125</v>
      </c>
      <c r="D21" s="104">
        <f>D20*D12</f>
        <v>812379.96</v>
      </c>
      <c r="E21" s="104">
        <f>E20*E12</f>
        <v>726846.89999999991</v>
      </c>
      <c r="G21" s="105"/>
    </row>
    <row r="22" spans="1:9" ht="15" thickBot="1" x14ac:dyDescent="0.25">
      <c r="A22" s="91" t="s">
        <v>77</v>
      </c>
      <c r="B22" s="91" t="s">
        <v>0</v>
      </c>
      <c r="C22" s="104">
        <f>C20*C13</f>
        <v>112471.875</v>
      </c>
      <c r="D22" s="104">
        <f>D20*D13</f>
        <v>185279.64</v>
      </c>
      <c r="E22" s="104">
        <f>E20*E13</f>
        <v>165772.1</v>
      </c>
      <c r="G22" s="105"/>
    </row>
    <row r="23" spans="1:9" ht="15" thickBot="1" x14ac:dyDescent="0.25">
      <c r="A23" s="111"/>
      <c r="B23" s="112"/>
      <c r="C23" s="113"/>
      <c r="D23" s="113"/>
      <c r="E23" s="113"/>
      <c r="F23" s="79"/>
      <c r="G23" s="79"/>
      <c r="H23" s="79"/>
      <c r="I23" s="79"/>
    </row>
    <row r="24" spans="1:9" ht="30.75" thickBot="1" x14ac:dyDescent="0.3">
      <c r="A24" s="649" t="s">
        <v>78</v>
      </c>
      <c r="B24" s="650"/>
      <c r="C24" s="90" t="s">
        <v>48</v>
      </c>
      <c r="D24" s="90" t="s">
        <v>49</v>
      </c>
      <c r="E24" s="90" t="s">
        <v>50</v>
      </c>
    </row>
    <row r="25" spans="1:9" ht="15.75" thickBot="1" x14ac:dyDescent="0.3">
      <c r="A25" s="114" t="s">
        <v>79</v>
      </c>
      <c r="B25" s="115"/>
      <c r="C25" s="116">
        <v>16</v>
      </c>
      <c r="D25" s="116">
        <v>16</v>
      </c>
      <c r="E25" s="116">
        <v>16</v>
      </c>
    </row>
    <row r="26" spans="1:9" ht="15.75" thickBot="1" x14ac:dyDescent="0.3">
      <c r="A26" s="114" t="s">
        <v>80</v>
      </c>
      <c r="B26" s="115"/>
      <c r="C26" s="117" t="s">
        <v>81</v>
      </c>
      <c r="D26" s="117" t="s">
        <v>81</v>
      </c>
      <c r="E26" s="118">
        <v>8</v>
      </c>
    </row>
    <row r="27" spans="1:9" ht="15.75" thickBot="1" x14ac:dyDescent="0.3">
      <c r="A27" s="114" t="s">
        <v>82</v>
      </c>
      <c r="B27" s="115"/>
      <c r="C27" s="116">
        <v>3</v>
      </c>
      <c r="D27" s="116">
        <v>0</v>
      </c>
      <c r="E27" s="116">
        <v>0</v>
      </c>
    </row>
    <row r="28" spans="1:9" ht="15.75" thickBot="1" x14ac:dyDescent="0.3">
      <c r="A28" s="114" t="s">
        <v>83</v>
      </c>
      <c r="B28" s="115"/>
      <c r="C28" s="116">
        <v>9</v>
      </c>
      <c r="D28" s="116">
        <v>9</v>
      </c>
      <c r="E28" s="117" t="s">
        <v>81</v>
      </c>
    </row>
    <row r="29" spans="1:9" ht="15.75" thickBot="1" x14ac:dyDescent="0.3">
      <c r="A29" s="114" t="s">
        <v>84</v>
      </c>
      <c r="B29" s="115"/>
      <c r="C29" s="116">
        <v>3</v>
      </c>
      <c r="D29" s="116">
        <v>3</v>
      </c>
      <c r="E29" s="116">
        <v>1</v>
      </c>
      <c r="I29" t="s">
        <v>85</v>
      </c>
    </row>
    <row r="30" spans="1:9" ht="15.75" thickBot="1" x14ac:dyDescent="0.3">
      <c r="A30" s="114" t="s">
        <v>86</v>
      </c>
      <c r="B30" s="115"/>
      <c r="C30" s="117" t="s">
        <v>81</v>
      </c>
      <c r="D30" s="116">
        <v>3</v>
      </c>
      <c r="E30" s="118">
        <v>3</v>
      </c>
      <c r="F30" t="s">
        <v>87</v>
      </c>
      <c r="I30" t="s">
        <v>88</v>
      </c>
    </row>
    <row r="31" spans="1:9" ht="15.75" thickBot="1" x14ac:dyDescent="0.3">
      <c r="A31" s="114" t="s">
        <v>89</v>
      </c>
      <c r="B31" s="115"/>
      <c r="C31" s="117" t="s">
        <v>81</v>
      </c>
      <c r="D31" s="116">
        <v>4</v>
      </c>
      <c r="E31" s="116">
        <v>0.75</v>
      </c>
    </row>
    <row r="32" spans="1:9" ht="15.75" thickBot="1" x14ac:dyDescent="0.3">
      <c r="A32" s="91" t="s">
        <v>90</v>
      </c>
      <c r="B32" s="91" t="s">
        <v>91</v>
      </c>
      <c r="C32" s="119">
        <f>(C25*C3)+(C27*C9*C3)+(C28*C11)+(C29*C11)</f>
        <v>21496</v>
      </c>
      <c r="D32" s="119">
        <f>(D25*D3)+(D27*D9*D3)+(D28*D11)+(D29*D11)+(D30*D11)+(D31*D11)</f>
        <v>34324</v>
      </c>
      <c r="E32" s="119">
        <f>(E25*E3)+(E26*E11)+(E27*E9*E3)+(E29*E11)+(E30*E11)+(E31*E11)</f>
        <v>18713.5</v>
      </c>
    </row>
    <row r="33" spans="1:9" ht="15" thickBot="1" x14ac:dyDescent="0.25">
      <c r="A33" s="91"/>
      <c r="B33" s="91"/>
      <c r="C33" s="120"/>
      <c r="D33" s="120"/>
      <c r="E33" s="120"/>
    </row>
    <row r="34" spans="1:9" ht="15" thickBot="1" x14ac:dyDescent="0.25">
      <c r="A34" s="102" t="s">
        <v>92</v>
      </c>
      <c r="B34" s="102" t="s">
        <v>1</v>
      </c>
      <c r="C34" s="121">
        <f>C32/C3</f>
        <v>85.983999999999995</v>
      </c>
      <c r="D34" s="121">
        <f>D32/D3</f>
        <v>137.29599999999999</v>
      </c>
      <c r="E34" s="121">
        <f>E32/E3</f>
        <v>74.853999999999999</v>
      </c>
      <c r="G34" s="105" t="s">
        <v>70</v>
      </c>
    </row>
    <row r="35" spans="1:9" ht="15" thickBot="1" x14ac:dyDescent="0.25">
      <c r="A35" s="102" t="s">
        <v>93</v>
      </c>
      <c r="B35" s="102" t="s">
        <v>1</v>
      </c>
      <c r="C35" s="121">
        <f>C34/C7</f>
        <v>95.537777777777777</v>
      </c>
      <c r="D35" s="121">
        <f>D34/D7</f>
        <v>292.11914893617023</v>
      </c>
      <c r="E35" s="121">
        <f>E34/E7</f>
        <v>115.16</v>
      </c>
      <c r="G35" s="105"/>
    </row>
    <row r="36" spans="1:9" ht="15" thickBot="1" x14ac:dyDescent="0.25">
      <c r="A36" s="102" t="s">
        <v>94</v>
      </c>
      <c r="B36" s="102" t="s">
        <v>31</v>
      </c>
      <c r="C36" s="121">
        <f>C32/(C15/2000)</f>
        <v>25.801650412603152</v>
      </c>
      <c r="D36" s="121">
        <f>D32/(D15/2000)</f>
        <v>21.506265664160402</v>
      </c>
      <c r="E36" s="121">
        <f>E32/(E15/2000)</f>
        <v>16.216204506065857</v>
      </c>
      <c r="G36" s="105"/>
    </row>
    <row r="37" spans="1:9" ht="15" thickBot="1" x14ac:dyDescent="0.25">
      <c r="A37" s="127" t="s">
        <v>95</v>
      </c>
      <c r="B37" s="102" t="s">
        <v>31</v>
      </c>
      <c r="C37" s="121">
        <f>C32/(C16/2000)</f>
        <v>28.668500458447944</v>
      </c>
      <c r="D37" s="121">
        <f>D32/(D16/2000)</f>
        <v>45.75801205140511</v>
      </c>
      <c r="E37" s="121">
        <f>E32/(E16/2000)</f>
        <v>24.948006932409012</v>
      </c>
      <c r="G37" s="105"/>
    </row>
    <row r="38" spans="1:9" ht="15" thickBot="1" x14ac:dyDescent="0.25">
      <c r="A38" s="102" t="s">
        <v>96</v>
      </c>
      <c r="B38" s="102" t="s">
        <v>97</v>
      </c>
      <c r="C38" s="121">
        <f>C32/C11</f>
        <v>16.12603150787697</v>
      </c>
      <c r="D38" s="121">
        <f>D32/D11</f>
        <v>21.506265664160402</v>
      </c>
      <c r="E38" s="121">
        <f>E32/E11</f>
        <v>16.216204506065857</v>
      </c>
      <c r="G38" s="105"/>
    </row>
    <row r="39" spans="1:9" ht="15" thickBot="1" x14ac:dyDescent="0.25">
      <c r="A39" s="127" t="s">
        <v>98</v>
      </c>
      <c r="B39" s="102" t="s">
        <v>97</v>
      </c>
      <c r="C39" s="121">
        <f>C38/C7</f>
        <v>17.917812786529968</v>
      </c>
      <c r="D39" s="121">
        <f>D38/D7</f>
        <v>45.75801205140511</v>
      </c>
      <c r="E39" s="121">
        <f>E38/E7</f>
        <v>24.948006932409012</v>
      </c>
      <c r="G39" s="105"/>
    </row>
    <row r="40" spans="1:9" ht="15" thickBot="1" x14ac:dyDescent="0.25">
      <c r="A40" s="102" t="s">
        <v>99</v>
      </c>
      <c r="B40" s="102" t="s">
        <v>20</v>
      </c>
      <c r="C40" s="122">
        <f>C32/C16</f>
        <v>1.4334250229223973E-2</v>
      </c>
      <c r="D40" s="122">
        <f>D32/D16</f>
        <v>2.2879006025702555E-2</v>
      </c>
      <c r="E40" s="122">
        <f>E32/E16</f>
        <v>1.2474003466204506E-2</v>
      </c>
      <c r="G40" s="105"/>
    </row>
    <row r="41" spans="1:9" ht="15" thickBot="1" x14ac:dyDescent="0.25">
      <c r="A41" s="102" t="s">
        <v>100</v>
      </c>
      <c r="B41" s="102" t="s">
        <v>20</v>
      </c>
      <c r="C41" s="122">
        <f>C32/C17</f>
        <v>2.6544907831896246E-2</v>
      </c>
      <c r="D41" s="122">
        <f>D32/D17</f>
        <v>4.0138607062636063E-2</v>
      </c>
      <c r="E41" s="122">
        <f>E32/E17</f>
        <v>2.1884216607376328E-2</v>
      </c>
      <c r="G41" s="105"/>
    </row>
    <row r="42" spans="1:9" ht="15" thickBot="1" x14ac:dyDescent="0.25">
      <c r="A42" s="102" t="s">
        <v>101</v>
      </c>
      <c r="B42" s="102" t="s">
        <v>20</v>
      </c>
      <c r="C42" s="122">
        <f>C32/C18</f>
        <v>0.14334250229223972</v>
      </c>
      <c r="D42" s="122">
        <f>D32/D18</f>
        <v>0.17599235404386579</v>
      </c>
      <c r="E42" s="122">
        <f>E32/E18</f>
        <v>9.5953872816957733E-2</v>
      </c>
    </row>
    <row r="43" spans="1:9" ht="15" thickBot="1" x14ac:dyDescent="0.25">
      <c r="A43" s="123"/>
      <c r="B43" s="124"/>
      <c r="C43" s="122"/>
      <c r="D43" s="122"/>
      <c r="E43" s="122"/>
    </row>
    <row r="44" spans="1:9" ht="30.75" thickBot="1" x14ac:dyDescent="0.3">
      <c r="A44" s="643" t="s">
        <v>102</v>
      </c>
      <c r="B44" s="644"/>
      <c r="C44" s="90" t="s">
        <v>48</v>
      </c>
      <c r="D44" s="90" t="s">
        <v>49</v>
      </c>
      <c r="E44" s="90" t="s">
        <v>50</v>
      </c>
    </row>
    <row r="45" spans="1:9" ht="15" thickBot="1" x14ac:dyDescent="0.25">
      <c r="A45" s="91" t="s">
        <v>103</v>
      </c>
      <c r="B45" s="91" t="s">
        <v>31</v>
      </c>
      <c r="C45" s="125">
        <f>C32/(C19/2000)</f>
        <v>34.402200550137536</v>
      </c>
      <c r="D45" s="125">
        <f>D32/(D19/2000)</f>
        <v>22.638174383326739</v>
      </c>
      <c r="E45" s="125">
        <f>E32/(E19/2000)</f>
        <v>19.077887654195127</v>
      </c>
    </row>
    <row r="46" spans="1:9" ht="15" thickBot="1" x14ac:dyDescent="0.25">
      <c r="A46" s="95" t="s">
        <v>95</v>
      </c>
      <c r="B46" s="91" t="s">
        <v>31</v>
      </c>
      <c r="C46" s="125">
        <f>C32/(C20/2000)</f>
        <v>38.224667277930592</v>
      </c>
      <c r="D46" s="125">
        <f>D32/(D20/2000)</f>
        <v>48.166328475163269</v>
      </c>
      <c r="E46" s="125">
        <f>E32/(E20/2000)</f>
        <v>29.350596391069423</v>
      </c>
    </row>
    <row r="47" spans="1:9" ht="15" thickBot="1" x14ac:dyDescent="0.25">
      <c r="A47" s="91" t="s">
        <v>104</v>
      </c>
      <c r="B47" s="91"/>
      <c r="C47" s="125">
        <f>C32/C11</f>
        <v>16.12603150787697</v>
      </c>
      <c r="D47" s="125">
        <f>D32/D11</f>
        <v>21.506265664160402</v>
      </c>
      <c r="E47" s="125">
        <f>E32/E11</f>
        <v>16.216204506065857</v>
      </c>
    </row>
    <row r="48" spans="1:9" ht="15" thickBot="1" x14ac:dyDescent="0.25">
      <c r="A48" s="91" t="s">
        <v>105</v>
      </c>
      <c r="B48" s="91"/>
      <c r="C48" s="125">
        <f>C46/2000*C10</f>
        <v>23.89041704870662</v>
      </c>
      <c r="D48" s="125">
        <f>D46/2000*D10</f>
        <v>48.166328475163269</v>
      </c>
      <c r="E48" s="125">
        <f>E46</f>
        <v>29.350596391069423</v>
      </c>
      <c r="I48" t="s">
        <v>106</v>
      </c>
    </row>
    <row r="49" spans="1:5" ht="15" thickBot="1" x14ac:dyDescent="0.25">
      <c r="A49" s="91" t="s">
        <v>99</v>
      </c>
      <c r="B49" s="91" t="s">
        <v>20</v>
      </c>
      <c r="C49" s="126">
        <f>C32/C20</f>
        <v>1.9112333638965296E-2</v>
      </c>
      <c r="D49" s="126">
        <f>D32/D20</f>
        <v>2.4083164237581636E-2</v>
      </c>
      <c r="E49" s="126">
        <f>E32/E20</f>
        <v>1.4675298195534713E-2</v>
      </c>
    </row>
    <row r="50" spans="1:5" ht="15" thickBot="1" x14ac:dyDescent="0.25">
      <c r="A50" s="91" t="s">
        <v>100</v>
      </c>
      <c r="B50" s="91" t="s">
        <v>20</v>
      </c>
      <c r="C50" s="126">
        <f>C32/C21</f>
        <v>3.5393210442528328E-2</v>
      </c>
      <c r="D50" s="126">
        <f>D32/D21</f>
        <v>4.2251165329090588E-2</v>
      </c>
      <c r="E50" s="126">
        <f>E32/E21</f>
        <v>2.5746137185148621E-2</v>
      </c>
    </row>
    <row r="51" spans="1:5" ht="15" thickBot="1" x14ac:dyDescent="0.25">
      <c r="A51" s="91" t="s">
        <v>101</v>
      </c>
      <c r="B51" s="91" t="s">
        <v>20</v>
      </c>
      <c r="C51" s="126">
        <f>C32/C22</f>
        <v>0.19112333638965298</v>
      </c>
      <c r="D51" s="126">
        <f>D32/D22</f>
        <v>0.18525510951985871</v>
      </c>
      <c r="E51" s="126">
        <f>E32/E22</f>
        <v>0.11288690919642086</v>
      </c>
    </row>
  </sheetData>
  <mergeCells count="6">
    <mergeCell ref="A44:B44"/>
    <mergeCell ref="A2:B2"/>
    <mergeCell ref="A8:B8"/>
    <mergeCell ref="A9:B9"/>
    <mergeCell ref="A11:B11"/>
    <mergeCell ref="A24:B2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1F0D3AF-2E87-42E8-9E1A-9255270D9680}"/>
</file>

<file path=customXml/itemProps2.xml><?xml version="1.0" encoding="utf-8"?>
<ds:datastoreItem xmlns:ds="http://schemas.openxmlformats.org/officeDocument/2006/customXml" ds:itemID="{77CAD9A9-F920-4C05-A673-A7A17C17F3EA}"/>
</file>

<file path=customXml/itemProps3.xml><?xml version="1.0" encoding="utf-8"?>
<ds:datastoreItem xmlns:ds="http://schemas.openxmlformats.org/officeDocument/2006/customXml" ds:itemID="{2D08D516-539D-4C76-8636-CC06E32B3EB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Forage Insurance</vt:lpstr>
      <vt:lpstr>DATA (HIDE)</vt:lpstr>
      <vt:lpstr>Summary (HIDE)</vt:lpstr>
      <vt:lpstr>Calculator (HIDE)</vt:lpstr>
      <vt:lpstr>'Forage Insurance'!Print_Area</vt:lpstr>
      <vt:lpstr>'Summary (HIDE)'!Print_Area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Fertilizer Efficiency Calculator </dc:title>
  <dc:creator>roy.arnott@gov.mb.ca</dc:creator>
  <cp:lastModifiedBy>Arnott, Roy (ARD)</cp:lastModifiedBy>
  <cp:lastPrinted>2022-09-20T21:02:13Z</cp:lastPrinted>
  <dcterms:created xsi:type="dcterms:W3CDTF">1998-11-19T15:06:11Z</dcterms:created>
  <dcterms:modified xsi:type="dcterms:W3CDTF">2023-02-01T18:07:58Z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46</vt:lpwstr>
  </property>
  <property fmtid="{D5CDD505-2E9C-101B-9397-08002B2CF9AE}" pid="3" name="ContentType">
    <vt:lpwstr>Document</vt:lpwstr>
  </property>
  <property fmtid="{D5CDD505-2E9C-101B-9397-08002B2CF9AE}" pid="4" name="Category">
    <vt:lpwstr>Programs</vt:lpwstr>
  </property>
  <property fmtid="{D5CDD505-2E9C-101B-9397-08002B2CF9AE}" pid="5" name="ContentTypeId">
    <vt:lpwstr>0x01010007C3257931C4EB4CBE667AF33D71167E</vt:lpwstr>
  </property>
</Properties>
</file>